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C:\Users\212539536\Box\MN Product Management\Cortecs\RT434\"/>
    </mc:Choice>
  </mc:AlternateContent>
  <xr:revisionPtr revIDLastSave="0" documentId="13_ncr:1_{73D9BC11-8DD5-410A-8BEC-5DDAB3393435}" xr6:coauthVersionLast="47" xr6:coauthVersionMax="47" xr10:uidLastSave="{00000000-0000-0000-0000-000000000000}"/>
  <workbookProtection workbookAlgorithmName="SHA-512" workbookHashValue="1etvvVWc562kVOMOUyMML5y6m4URZtDq+tIs6KLnPYk0KcsFoMTcViKHI5AYnF3CeFQXoEjsNMULREDJfv9W5Q==" workbookSaltValue="EheDOj55/hht4ifUe6+tYw==" workbookSpinCount="100000" lockStructure="1"/>
  <bookViews>
    <workbookView xWindow="-28920" yWindow="-120" windowWidth="29040" windowHeight="15840" tabRatio="617" xr2:uid="{00000000-000D-0000-FFFF-FFFF00000000}"/>
  </bookViews>
  <sheets>
    <sheet name="Disclaimer" sheetId="7" r:id="rId1"/>
    <sheet name="Cortec" sheetId="12" r:id="rId2"/>
    <sheet name="Configurator" sheetId="11" r:id="rId3"/>
    <sheet name="Master Text" sheetId="10" r:id="rId4"/>
    <sheet name="Accessories" sheetId="14" r:id="rId5"/>
    <sheet name="Database" sheetId="9" state="hidden" r:id="rId6"/>
    <sheet name="Date Drivers" sheetId="6" state="hidden" r:id="rId7"/>
    <sheet name="Language" sheetId="13"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0" l="1"/>
  <c r="D40" i="10"/>
  <c r="AA41" i="6"/>
  <c r="AA40" i="6"/>
  <c r="AA39" i="6"/>
  <c r="AA46" i="6"/>
  <c r="AA45" i="6"/>
  <c r="AA38" i="6"/>
  <c r="AA36" i="6"/>
  <c r="AA35" i="6"/>
  <c r="AA33" i="6"/>
  <c r="AA31" i="6"/>
  <c r="AA30" i="6"/>
  <c r="AA27" i="6"/>
  <c r="AA25" i="6"/>
  <c r="AA24" i="6"/>
  <c r="AA22" i="6"/>
  <c r="AA21" i="6"/>
  <c r="AA19" i="6"/>
  <c r="AA18" i="6"/>
  <c r="AA17" i="6"/>
  <c r="AA15" i="6"/>
  <c r="AA14" i="6"/>
  <c r="AA13" i="6"/>
  <c r="AA11" i="6"/>
  <c r="AA10" i="6"/>
  <c r="AA9" i="6"/>
  <c r="AA7" i="6"/>
  <c r="AA6" i="6"/>
  <c r="AA5" i="6"/>
  <c r="AA4" i="6"/>
  <c r="AA1" i="6"/>
  <c r="D39" i="10" l="1"/>
  <c r="W1" i="6"/>
  <c r="D38" i="10" l="1"/>
  <c r="D19" i="9"/>
  <c r="S1" i="6"/>
  <c r="D37" i="10" l="1"/>
  <c r="O1" i="6"/>
  <c r="D36" i="10" l="1"/>
  <c r="K1" i="6"/>
  <c r="D35" i="10" l="1"/>
  <c r="D34" i="10"/>
  <c r="G1" i="6"/>
  <c r="D34" i="9" l="1"/>
  <c r="D58" i="9" l="1"/>
  <c r="C57" i="9"/>
  <c r="C58" i="9" s="1"/>
  <c r="D50" i="9"/>
  <c r="D51" i="9" s="1"/>
  <c r="D52" i="9" s="1"/>
  <c r="D53" i="9" s="1"/>
  <c r="D54" i="9" s="1"/>
  <c r="D55" i="9" s="1"/>
  <c r="C49" i="9"/>
  <c r="C50" i="9" l="1"/>
  <c r="C51" i="9" s="1"/>
  <c r="C52" i="9" s="1"/>
  <c r="C53" i="9" s="1"/>
  <c r="C54" i="9" s="1"/>
  <c r="C55" i="9" s="1"/>
  <c r="D26" i="9" l="1"/>
  <c r="D30" i="9"/>
  <c r="D38" i="9"/>
  <c r="D42" i="9"/>
  <c r="D46" i="9"/>
  <c r="D16" i="9"/>
  <c r="D17" i="9" s="1"/>
  <c r="D21" i="9"/>
  <c r="D22" i="9" s="1"/>
  <c r="D11" i="9"/>
  <c r="D12" i="9" s="1"/>
  <c r="D7" i="9" l="1"/>
  <c r="C6" i="9"/>
  <c r="C7" i="9" s="1"/>
  <c r="C45" i="9"/>
  <c r="C46" i="9" s="1"/>
  <c r="C41" i="9"/>
  <c r="C42" i="9" s="1"/>
  <c r="C37" i="9"/>
  <c r="C38" i="9" s="1"/>
  <c r="C33" i="9"/>
  <c r="C34" i="9" s="1"/>
  <c r="C29" i="9"/>
  <c r="C30" i="9" s="1"/>
  <c r="C25" i="9"/>
  <c r="C26" i="9" s="1"/>
  <c r="C20" i="9"/>
  <c r="C21" i="9" s="1"/>
  <c r="C22" i="9" s="1"/>
  <c r="C15" i="9"/>
  <c r="C16" i="9" s="1"/>
  <c r="C17" i="9" s="1"/>
  <c r="C10" i="9"/>
  <c r="C11" i="9" s="1"/>
  <c r="C12" i="9" s="1"/>
  <c r="C1" i="6"/>
  <c r="K2" i="9" l="1"/>
  <c r="K1" i="9"/>
  <c r="C3" i="13" l="1"/>
  <c r="B3" i="13"/>
  <c r="H2" i="9"/>
  <c r="G2" i="9"/>
  <c r="B8" i="14" l="1"/>
  <c r="B9" i="14"/>
  <c r="B2" i="14"/>
  <c r="B7" i="14"/>
  <c r="A2" i="14"/>
  <c r="A1" i="14"/>
  <c r="B6" i="14"/>
  <c r="B5" i="14"/>
  <c r="B4" i="14"/>
  <c r="W45" i="6"/>
  <c r="W41" i="6"/>
  <c r="W36" i="6"/>
  <c r="W27" i="6"/>
  <c r="W21" i="6"/>
  <c r="W15" i="6"/>
  <c r="W10" i="6"/>
  <c r="W5" i="6"/>
  <c r="W4" i="6" s="1"/>
  <c r="W31" i="6"/>
  <c r="W43" i="6"/>
  <c r="W39" i="6"/>
  <c r="W33" i="6"/>
  <c r="W24" i="6"/>
  <c r="W18" i="6"/>
  <c r="W13" i="6"/>
  <c r="W7" i="6"/>
  <c r="W42" i="6"/>
  <c r="W38" i="6"/>
  <c r="W22" i="6"/>
  <c r="W11" i="6"/>
  <c r="C39" i="10"/>
  <c r="W44" i="6"/>
  <c r="W40" i="6"/>
  <c r="W35" i="6"/>
  <c r="W25" i="6"/>
  <c r="W19" i="6"/>
  <c r="W14" i="6"/>
  <c r="W9" i="6"/>
  <c r="W46" i="6"/>
  <c r="W30" i="6"/>
  <c r="W17" i="6"/>
  <c r="W6" i="6"/>
  <c r="A61" i="12"/>
  <c r="S42" i="6"/>
  <c r="S38" i="6"/>
  <c r="S31" i="6"/>
  <c r="S24" i="6"/>
  <c r="S18" i="6"/>
  <c r="S13" i="6"/>
  <c r="S7" i="6"/>
  <c r="A60" i="12"/>
  <c r="S46" i="6"/>
  <c r="S41" i="6"/>
  <c r="S36" i="6"/>
  <c r="S30" i="6"/>
  <c r="S22" i="6"/>
  <c r="S17" i="6"/>
  <c r="S11" i="6"/>
  <c r="S6" i="6"/>
  <c r="C38" i="10"/>
  <c r="S45" i="6"/>
  <c r="S40" i="6"/>
  <c r="S35" i="6"/>
  <c r="S27" i="6"/>
  <c r="S21" i="6"/>
  <c r="S15" i="6"/>
  <c r="S10" i="6"/>
  <c r="S5" i="6"/>
  <c r="S4" i="6" s="1"/>
  <c r="S44" i="6"/>
  <c r="S43" i="6"/>
  <c r="S39" i="6"/>
  <c r="S33" i="6"/>
  <c r="S25" i="6"/>
  <c r="S19" i="6"/>
  <c r="S14" i="6"/>
  <c r="S9" i="6"/>
  <c r="C37" i="10"/>
  <c r="O46" i="6"/>
  <c r="O41" i="6"/>
  <c r="O36" i="6"/>
  <c r="O25" i="6"/>
  <c r="O19" i="6"/>
  <c r="O14" i="6"/>
  <c r="O9" i="6"/>
  <c r="O45" i="6"/>
  <c r="O35" i="6"/>
  <c r="O18" i="6"/>
  <c r="O7" i="6"/>
  <c r="O43" i="6"/>
  <c r="O17" i="6"/>
  <c r="O6" i="6"/>
  <c r="O31" i="6"/>
  <c r="O42" i="6"/>
  <c r="O38" i="6"/>
  <c r="O27" i="6"/>
  <c r="O21" i="6"/>
  <c r="O15" i="6"/>
  <c r="O10" i="6"/>
  <c r="O5" i="6"/>
  <c r="O4" i="6" s="1"/>
  <c r="O40" i="6"/>
  <c r="O24" i="6"/>
  <c r="O13" i="6"/>
  <c r="O30" i="6"/>
  <c r="O39" i="6"/>
  <c r="O33" i="6"/>
  <c r="O22" i="6"/>
  <c r="O11" i="6"/>
  <c r="K41" i="6"/>
  <c r="K45" i="6"/>
  <c r="K33" i="6"/>
  <c r="K24" i="6"/>
  <c r="K18" i="6"/>
  <c r="K13" i="6"/>
  <c r="K7" i="6"/>
  <c r="K36" i="6"/>
  <c r="K27" i="6"/>
  <c r="K5" i="6"/>
  <c r="K4" i="6" s="1"/>
  <c r="C36" i="10"/>
  <c r="K40" i="6"/>
  <c r="K38" i="6"/>
  <c r="K30" i="6"/>
  <c r="K22" i="6"/>
  <c r="K17" i="6"/>
  <c r="K11" i="6"/>
  <c r="K6" i="6"/>
  <c r="K43" i="6"/>
  <c r="K39" i="6"/>
  <c r="K21" i="6"/>
  <c r="K15" i="6"/>
  <c r="K10" i="6"/>
  <c r="K42" i="6"/>
  <c r="K46" i="6"/>
  <c r="K35" i="6"/>
  <c r="K25" i="6"/>
  <c r="K19" i="6"/>
  <c r="K14" i="6"/>
  <c r="K9" i="6"/>
  <c r="C33" i="10"/>
  <c r="G27" i="6"/>
  <c r="G42" i="6"/>
  <c r="G38" i="6"/>
  <c r="G30" i="6"/>
  <c r="G21" i="6"/>
  <c r="G15" i="6"/>
  <c r="G10" i="6"/>
  <c r="G5" i="6"/>
  <c r="G4" i="6" s="1"/>
  <c r="C30" i="10"/>
  <c r="G22" i="6"/>
  <c r="G11" i="6"/>
  <c r="C32" i="10"/>
  <c r="G46" i="6"/>
  <c r="G41" i="6"/>
  <c r="G36" i="6"/>
  <c r="G25" i="6"/>
  <c r="G19" i="6"/>
  <c r="G14" i="6"/>
  <c r="G9" i="6"/>
  <c r="G43" i="6"/>
  <c r="G39" i="6"/>
  <c r="G33" i="6"/>
  <c r="G6" i="6"/>
  <c r="C35" i="10"/>
  <c r="C31" i="10"/>
  <c r="G45" i="6"/>
  <c r="G40" i="6"/>
  <c r="G35" i="6"/>
  <c r="G24" i="6"/>
  <c r="G18" i="6"/>
  <c r="G13" i="6"/>
  <c r="G7" i="6"/>
  <c r="C34" i="10"/>
  <c r="G17" i="6"/>
  <c r="B11" i="7"/>
  <c r="B6" i="7"/>
  <c r="B4" i="7"/>
  <c r="B3" i="7"/>
  <c r="P3" i="12"/>
  <c r="C3" i="12"/>
  <c r="A3" i="12"/>
  <c r="A1" i="12"/>
  <c r="A29" i="10"/>
  <c r="C43" i="6"/>
  <c r="C39" i="6"/>
  <c r="C35" i="6"/>
  <c r="C30" i="6"/>
  <c r="C46" i="6"/>
  <c r="C42" i="6"/>
  <c r="C38" i="6"/>
  <c r="B35" i="6"/>
  <c r="C33" i="6"/>
  <c r="C45" i="6"/>
  <c r="C41" i="6"/>
  <c r="B38" i="6"/>
  <c r="B45" i="6"/>
  <c r="C40" i="6"/>
  <c r="C36" i="6"/>
  <c r="B33" i="6"/>
  <c r="B30" i="6"/>
  <c r="B24" i="6"/>
  <c r="B17" i="6"/>
  <c r="B13" i="6"/>
  <c r="C9" i="6"/>
  <c r="C22" i="6"/>
  <c r="B9" i="6"/>
  <c r="C25" i="6"/>
  <c r="C21" i="6"/>
  <c r="C18" i="6"/>
  <c r="C14" i="6"/>
  <c r="C11" i="6"/>
  <c r="C6" i="6"/>
  <c r="C28" i="6"/>
  <c r="C15" i="6"/>
  <c r="C24" i="6"/>
  <c r="B21" i="6"/>
  <c r="C17" i="6"/>
  <c r="C13" i="6"/>
  <c r="C10" i="6"/>
  <c r="C19" i="6"/>
  <c r="C7" i="6"/>
  <c r="C5" i="6"/>
  <c r="C27" i="6"/>
  <c r="B6" i="6"/>
  <c r="B4" i="6"/>
  <c r="A5" i="12" s="1"/>
  <c r="B27" i="6"/>
  <c r="H55" i="9"/>
  <c r="G55" i="9"/>
  <c r="E55" i="9"/>
  <c r="J21" i="9"/>
  <c r="F55" i="9"/>
  <c r="J22" i="9"/>
  <c r="J20" i="9"/>
  <c r="C4" i="6" l="1"/>
  <c r="H12" i="9"/>
  <c r="E42" i="9"/>
  <c r="F41" i="9"/>
  <c r="G50" i="9"/>
  <c r="E26" i="9"/>
  <c r="F30" i="9"/>
  <c r="E2" i="9"/>
  <c r="H42" i="9"/>
  <c r="H15" i="9"/>
  <c r="H7" i="9"/>
  <c r="E21" i="9"/>
  <c r="G41" i="9"/>
  <c r="H22" i="9"/>
  <c r="E54" i="9"/>
  <c r="B44" i="9"/>
  <c r="G57" i="9"/>
  <c r="F52" i="9"/>
  <c r="E53" i="9"/>
  <c r="F7" i="9"/>
  <c r="H34" i="9"/>
  <c r="F58" i="9"/>
  <c r="G10" i="9"/>
  <c r="F16" i="9"/>
  <c r="H45" i="9"/>
  <c r="H6" i="9"/>
  <c r="G49" i="9"/>
  <c r="B36" i="9"/>
  <c r="F33" i="9"/>
  <c r="B24" i="9"/>
  <c r="G17" i="9"/>
  <c r="F37" i="9"/>
  <c r="G45" i="9"/>
  <c r="G22" i="9"/>
  <c r="G20" i="9"/>
  <c r="F50" i="9"/>
  <c r="E57" i="9"/>
  <c r="E20" i="9"/>
  <c r="E49" i="9"/>
  <c r="H52" i="9"/>
  <c r="H26" i="9"/>
  <c r="H38" i="9"/>
  <c r="B48" i="9"/>
  <c r="G37" i="9"/>
  <c r="E58" i="9"/>
  <c r="H50" i="9"/>
  <c r="E22" i="9"/>
  <c r="E33" i="9"/>
  <c r="G25" i="9"/>
  <c r="E10" i="9"/>
  <c r="F42" i="9"/>
  <c r="E25" i="9"/>
  <c r="F57" i="9"/>
  <c r="F6" i="9"/>
  <c r="H46" i="9"/>
  <c r="H51" i="9"/>
  <c r="H58" i="9"/>
  <c r="F46" i="9"/>
  <c r="E52" i="9"/>
  <c r="G30" i="9"/>
  <c r="E7" i="9"/>
  <c r="E45" i="9"/>
  <c r="E50" i="9"/>
  <c r="H16" i="9"/>
  <c r="H53" i="9"/>
  <c r="E6" i="9"/>
  <c r="F54" i="9"/>
  <c r="F26" i="9"/>
  <c r="G21" i="9"/>
  <c r="F12" i="9"/>
  <c r="G53" i="9"/>
  <c r="G42" i="9"/>
  <c r="H17" i="9"/>
  <c r="H21" i="9"/>
  <c r="H37" i="9"/>
  <c r="G54" i="9"/>
  <c r="E15" i="9"/>
  <c r="H20" i="9"/>
  <c r="H29" i="9"/>
  <c r="G15" i="9"/>
  <c r="G51" i="9"/>
  <c r="E41" i="9"/>
  <c r="F49" i="9"/>
  <c r="E3" i="9"/>
  <c r="G52" i="9"/>
  <c r="H30" i="9"/>
  <c r="F53" i="9"/>
  <c r="E37" i="9"/>
  <c r="B5" i="9"/>
  <c r="G58" i="9"/>
  <c r="F34" i="9"/>
  <c r="F22" i="9"/>
  <c r="E46" i="9"/>
  <c r="E51" i="9"/>
  <c r="E38" i="9"/>
  <c r="B32" i="9"/>
  <c r="G46" i="9"/>
  <c r="F20" i="9"/>
  <c r="B19" i="9"/>
  <c r="B28" i="9"/>
  <c r="G29" i="9"/>
  <c r="G6" i="9"/>
  <c r="H54" i="9"/>
  <c r="E11" i="9"/>
  <c r="G7" i="9"/>
  <c r="B40" i="9"/>
  <c r="H41" i="9"/>
  <c r="B56" i="9"/>
  <c r="G26" i="9"/>
  <c r="H10" i="9"/>
  <c r="H11" i="9"/>
  <c r="E29" i="9"/>
  <c r="G11" i="9"/>
  <c r="F10" i="9"/>
  <c r="F11" i="9"/>
  <c r="H25" i="9"/>
  <c r="F17" i="9"/>
  <c r="H57" i="9"/>
  <c r="H33" i="9"/>
  <c r="E12" i="9"/>
  <c r="F25" i="9"/>
  <c r="H49" i="9"/>
  <c r="F29" i="9"/>
  <c r="G12" i="9"/>
  <c r="G16" i="9"/>
  <c r="E30" i="9"/>
  <c r="E16" i="9"/>
  <c r="E34" i="9"/>
  <c r="B14" i="9"/>
  <c r="E17" i="9"/>
  <c r="G33" i="9"/>
  <c r="B9" i="9"/>
  <c r="G38" i="9"/>
  <c r="F51" i="9"/>
  <c r="F15" i="9"/>
  <c r="F21" i="9"/>
  <c r="F45" i="9"/>
  <c r="G34" i="9"/>
  <c r="F38" i="9"/>
  <c r="E6" i="12" l="1"/>
  <c r="F3" i="11"/>
  <c r="Q51" i="12"/>
  <c r="F48" i="9"/>
  <c r="G25" i="11" s="1"/>
  <c r="Q3" i="11" s="1"/>
  <c r="H36" i="9"/>
  <c r="T19" i="11" s="1"/>
  <c r="A24" i="11"/>
  <c r="A23" i="10"/>
  <c r="A49" i="12"/>
  <c r="H48" i="9"/>
  <c r="A52" i="12"/>
  <c r="H28" i="9"/>
  <c r="T15" i="11" s="1"/>
  <c r="H44" i="9"/>
  <c r="T27" i="11" s="1"/>
  <c r="G9" i="9"/>
  <c r="A29" i="12"/>
  <c r="J29" i="12"/>
  <c r="H14" i="9"/>
  <c r="T9" i="11" s="1"/>
  <c r="A22" i="12"/>
  <c r="A9" i="10"/>
  <c r="A10" i="11"/>
  <c r="H18" i="12"/>
  <c r="A25" i="10"/>
  <c r="A55" i="12"/>
  <c r="A26" i="11"/>
  <c r="M39" i="12"/>
  <c r="G48" i="9"/>
  <c r="A39" i="12"/>
  <c r="A1" i="11"/>
  <c r="A2" i="10"/>
  <c r="A6" i="12"/>
  <c r="F32" i="9"/>
  <c r="G17" i="11" s="1"/>
  <c r="M3" i="11" s="1"/>
  <c r="L35" i="12"/>
  <c r="A57" i="12"/>
  <c r="P47" i="12"/>
  <c r="E24" i="9"/>
  <c r="A12" i="10" s="1"/>
  <c r="A28" i="12"/>
  <c r="A15" i="10"/>
  <c r="A34" i="12"/>
  <c r="A16" i="11"/>
  <c r="H5" i="9"/>
  <c r="T5" i="11" s="1"/>
  <c r="F10" i="12"/>
  <c r="F5" i="9"/>
  <c r="G5" i="11" s="1"/>
  <c r="G3" i="11" s="1"/>
  <c r="H24" i="9"/>
  <c r="T13" i="11" s="1"/>
  <c r="G13" i="12"/>
  <c r="A19" i="10"/>
  <c r="A17" i="10"/>
  <c r="A18" i="11"/>
  <c r="A37" i="12"/>
  <c r="F19" i="9"/>
  <c r="G11" i="11" s="1"/>
  <c r="J3" i="11" s="1"/>
  <c r="I24" i="12"/>
  <c r="E32" i="9"/>
  <c r="A16" i="10" s="1"/>
  <c r="A35" i="12"/>
  <c r="G56" i="9"/>
  <c r="A31" i="12"/>
  <c r="A13" i="10"/>
  <c r="A14" i="11"/>
  <c r="E44" i="9"/>
  <c r="A22" i="10" s="1"/>
  <c r="A46" i="12"/>
  <c r="R56" i="12"/>
  <c r="F56" i="9"/>
  <c r="G27" i="11" s="1"/>
  <c r="R3" i="11" s="1"/>
  <c r="A25" i="12"/>
  <c r="R57" i="12"/>
  <c r="G40" i="9"/>
  <c r="A14" i="12"/>
  <c r="A9" i="12"/>
  <c r="G24" i="9"/>
  <c r="A20" i="11"/>
  <c r="A41" i="12"/>
  <c r="G14" i="9"/>
  <c r="Q52" i="12"/>
  <c r="H32" i="9"/>
  <c r="T17" i="11" s="1"/>
  <c r="H56" i="9"/>
  <c r="A51" i="12"/>
  <c r="E48" i="9"/>
  <c r="A24" i="10" s="1"/>
  <c r="A5" i="10"/>
  <c r="A6" i="11"/>
  <c r="A12" i="12"/>
  <c r="F24" i="9"/>
  <c r="G13" i="11" s="1"/>
  <c r="K3" i="11" s="1"/>
  <c r="J28" i="12"/>
  <c r="G28" i="9"/>
  <c r="G5" i="9"/>
  <c r="A18" i="12"/>
  <c r="G36" i="9"/>
  <c r="M38" i="12"/>
  <c r="F36" i="9"/>
  <c r="G19" i="11" s="1"/>
  <c r="N3" i="11" s="1"/>
  <c r="E56" i="9"/>
  <c r="A26" i="10" s="1"/>
  <c r="A56" i="12"/>
  <c r="A24" i="12"/>
  <c r="E19" i="9"/>
  <c r="A10" i="10" s="1"/>
  <c r="A15" i="12"/>
  <c r="E9" i="9"/>
  <c r="A6" i="10" s="1"/>
  <c r="H19" i="9"/>
  <c r="T11" i="11" s="1"/>
  <c r="E5" i="9"/>
  <c r="A4" i="10" s="1"/>
  <c r="A10" i="12"/>
  <c r="G44" i="9"/>
  <c r="F9" i="12"/>
  <c r="A38" i="12"/>
  <c r="E36" i="9"/>
  <c r="A18" i="10" s="1"/>
  <c r="E40" i="9"/>
  <c r="A20" i="10" s="1"/>
  <c r="A42" i="12"/>
  <c r="K32" i="12"/>
  <c r="F28" i="9"/>
  <c r="G15" i="11" s="1"/>
  <c r="L3" i="11" s="1"/>
  <c r="F14" i="9"/>
  <c r="G9" i="11" s="1"/>
  <c r="I3" i="11" s="1"/>
  <c r="H20" i="12"/>
  <c r="H9" i="9"/>
  <c r="T7" i="11" s="1"/>
  <c r="G19" i="9"/>
  <c r="A27" i="12"/>
  <c r="A11" i="10"/>
  <c r="A12" i="11"/>
  <c r="E28" i="9"/>
  <c r="A14" i="10" s="1"/>
  <c r="A32" i="12"/>
  <c r="A47" i="12"/>
  <c r="I23" i="12"/>
  <c r="G32" i="9"/>
  <c r="I25" i="12"/>
  <c r="N42" i="12"/>
  <c r="F40" i="9"/>
  <c r="G21" i="11" s="1"/>
  <c r="O3" i="11" s="1"/>
  <c r="G14" i="12"/>
  <c r="Q53" i="12"/>
  <c r="E14" i="9"/>
  <c r="A8" i="10" s="1"/>
  <c r="A20" i="12"/>
  <c r="H19" i="12"/>
  <c r="A21" i="10"/>
  <c r="A45" i="12"/>
  <c r="A22" i="11"/>
  <c r="A50" i="12"/>
  <c r="A17" i="12"/>
  <c r="A8" i="11"/>
  <c r="A7" i="10"/>
  <c r="A13" i="12"/>
  <c r="G15" i="12"/>
  <c r="F9" i="9"/>
  <c r="G7" i="11" s="1"/>
  <c r="H3" i="11" s="1"/>
  <c r="A19" i="12"/>
  <c r="A23" i="12"/>
  <c r="H40" i="9"/>
  <c r="T25" i="11" s="1"/>
  <c r="A53" i="12"/>
  <c r="Q50" i="12"/>
  <c r="A8" i="12"/>
  <c r="A3" i="10"/>
  <c r="A4" i="11"/>
  <c r="P46" i="12"/>
  <c r="F44" i="9"/>
  <c r="G23" i="11" s="1"/>
  <c r="P3" i="11" s="1"/>
  <c r="E4" i="9" l="1"/>
  <c r="A1" i="10" s="1"/>
</calcChain>
</file>

<file path=xl/sharedStrings.xml><?xml version="1.0" encoding="utf-8"?>
<sst xmlns="http://schemas.openxmlformats.org/spreadsheetml/2006/main" count="623" uniqueCount="258">
  <si>
    <t>A</t>
  </si>
  <si>
    <t>B</t>
  </si>
  <si>
    <t>C</t>
  </si>
  <si>
    <t xml:space="preserve">Our policy is one of continuous development. Accordingly the design of our products may change at any time. </t>
  </si>
  <si>
    <t>Whilst every effort is made to produce up to date literature, this document should only be regarded as a guide and is intended for information purposes only.</t>
  </si>
  <si>
    <t>Its contents do not constitute an offer for sale or advice on the application of any product referred to in it. We cannot be held responsible for any reliance on any decisions taken on its contents without specific advice.</t>
  </si>
  <si>
    <t>Variants</t>
  </si>
  <si>
    <t>1-5</t>
  </si>
  <si>
    <t>Model Type</t>
  </si>
  <si>
    <t>X</t>
  </si>
  <si>
    <t>Customization / Regionalisation</t>
  </si>
  <si>
    <t>Default</t>
  </si>
  <si>
    <t>Reason branding</t>
  </si>
  <si>
    <t>Hardware Design Suffix</t>
  </si>
  <si>
    <t>P</t>
  </si>
  <si>
    <t>Power Supply 1</t>
  </si>
  <si>
    <t>Power Supply 2</t>
  </si>
  <si>
    <t>Not installed</t>
  </si>
  <si>
    <t>RJ45 copper 100BASE-TX for configuration only</t>
  </si>
  <si>
    <t>RJ45 copper 100BASE-TX for NTP server and configuration</t>
  </si>
  <si>
    <t>N</t>
  </si>
  <si>
    <t>RJ45 copper 100BASE-TX for PTP (IEEE 1588) server, NTP server and configuration</t>
  </si>
  <si>
    <t>Firmware Version</t>
  </si>
  <si>
    <t>IED Order Number</t>
  </si>
  <si>
    <t>Optional</t>
  </si>
  <si>
    <t>GPS Antenna</t>
  </si>
  <si>
    <t>Without antenna</t>
  </si>
  <si>
    <t>Antenna Cable</t>
  </si>
  <si>
    <t>No cable</t>
  </si>
  <si>
    <t>Surge Arrester</t>
  </si>
  <si>
    <t>Without surge arrester</t>
  </si>
  <si>
    <t>10 kA, 50 Ohms, BNC-type connector Surge Arrester for 0-2000 MHz</t>
  </si>
  <si>
    <t>Languages</t>
  </si>
  <si>
    <t>En</t>
  </si>
  <si>
    <t>Pt</t>
  </si>
  <si>
    <t>Es</t>
  </si>
  <si>
    <t>Modelo</t>
  </si>
  <si>
    <t>English</t>
  </si>
  <si>
    <t>Português</t>
  </si>
  <si>
    <t>Espanhol</t>
  </si>
  <si>
    <t>Customização / Regionalização</t>
  </si>
  <si>
    <t>Personalización / Regionalización</t>
  </si>
  <si>
    <t>Marca Reason</t>
  </si>
  <si>
    <t>Versão de Firmware</t>
  </si>
  <si>
    <t>Versión del Firmware</t>
  </si>
  <si>
    <t>Original Created</t>
  </si>
  <si>
    <t>Criado Originalmente</t>
  </si>
  <si>
    <t>Creado Originalmente</t>
  </si>
  <si>
    <t>Language Selection</t>
  </si>
  <si>
    <t>Seleção de idioma</t>
  </si>
  <si>
    <t>Selección del Idioma</t>
  </si>
  <si>
    <t>Nuestra política es de desarrollo continuo. Por lo tanto el diseño de nuestros productos puede cambiar en cualquier momento.</t>
  </si>
  <si>
    <t xml:space="preserve">Embora sejam demandados esforços para manter a documentação atualizada, este documento deve ser visto como um guia e destina-se apenas para fins informativos. </t>
  </si>
  <si>
    <t>A pesar del esfuerzo por producir literatura actualizada, este documento sólo debe considerarse como una guía y está destinada únicamente a fines informativos.</t>
  </si>
  <si>
    <t>Seu conteúdo não constitui uma proposta para venda ou recomendação sobre a aplicação de qualquer produto nele mencionado. Nós não podemos ser responsabilizados por quaisquer consequências em decisões tomadas sobre o seu conteúdo, sem recomendações específicas.</t>
  </si>
  <si>
    <t>Su contenido no constituye una oferta de venta o asesoramiento en la aplicación de cualquier producto contemplado en el mismo. No podemos ser responsables por cualquier dependencia de las decisiones adoptadas en su contenido sin notificación al respecto.</t>
  </si>
  <si>
    <t>Información necesaria para la Orden de Compra:</t>
  </si>
  <si>
    <t>Variantes</t>
  </si>
  <si>
    <t>Order Number</t>
  </si>
  <si>
    <t>Número de Orden</t>
  </si>
  <si>
    <t>Alimentação 1</t>
  </si>
  <si>
    <t>Alimentação 2</t>
  </si>
  <si>
    <t>Não instalado</t>
  </si>
  <si>
    <t>RJ45 cobre 100BASE-TX para configuração apenas</t>
  </si>
  <si>
    <t>RJ45 cobre 100BASE-TX para servidor NTP e configuração</t>
  </si>
  <si>
    <t>RJ45 cobre 100BASE-TX para servidor PTP (IEEE 1588), servidor NTP e configuração</t>
  </si>
  <si>
    <t>Sufixo do Hardware Design</t>
  </si>
  <si>
    <t>Antena GPS</t>
  </si>
  <si>
    <t>Cabo da Antena</t>
  </si>
  <si>
    <t>Sem cabo</t>
  </si>
  <si>
    <t>Supressor de Surto</t>
  </si>
  <si>
    <t>Sem supressor de surto</t>
  </si>
  <si>
    <t>10 kA, 50 Ohms, conector BNC Supressor de Surto para 0-2000 MHz</t>
  </si>
  <si>
    <t>No Instalado</t>
  </si>
  <si>
    <t>RJ45 de cobre 100BASE-TX para la configuración solamente</t>
  </si>
  <si>
    <t>RJ45 de cobre 100BASE-TX para servidor NTP y configuración</t>
  </si>
  <si>
    <t>RJ45 de cobre 100BASE-TX para servidor PTP (IEEE 1588), servidor NTP y configuración</t>
  </si>
  <si>
    <t>Sem Antena</t>
  </si>
  <si>
    <t>Sin Antena</t>
  </si>
  <si>
    <t>Cable de la Antena</t>
  </si>
  <si>
    <t>Sin Cable</t>
  </si>
  <si>
    <t>Supresor de Sobretensión</t>
  </si>
  <si>
    <t>Sin Supresor de Sobretensión</t>
  </si>
  <si>
    <t>10 kA, 50 Ohms, conector BNC Supressor de Sobretensión para 0-2000 MHz</t>
  </si>
  <si>
    <t>Alimentación 2</t>
  </si>
  <si>
    <t>Issue:</t>
  </si>
  <si>
    <t>Emissão:</t>
  </si>
  <si>
    <t>Emisión:</t>
  </si>
  <si>
    <t>Information required with Order:</t>
  </si>
  <si>
    <t>Informações requeridas para o pedido:</t>
  </si>
  <si>
    <t>Opcional</t>
  </si>
  <si>
    <t>Nossa política é de desenvolvimento contínuo. Portanto, o projeto de nossos produtos pode mudar a qualquer momento.</t>
  </si>
  <si>
    <t>Firmware version number</t>
  </si>
  <si>
    <t>Sufijo Designador del Hardware</t>
  </si>
  <si>
    <t>Redundancia PRP RJ45 cobre 100BASE-TX (misma función que la interfaz 1)</t>
  </si>
  <si>
    <t>Redundância PRP RJ45 cobre 100BASE-TX (mesma função que a interface 1)</t>
  </si>
  <si>
    <t>PRP-redundant RJ45 copper 100BASE-TX port (same function as interface 1)</t>
  </si>
  <si>
    <t>24-48 Vdc</t>
  </si>
  <si>
    <t>24-48 Vcc</t>
  </si>
  <si>
    <t>15 m (50 ft) TNC Male to BNC Male (Attennuation &lt; 0,05 dB/m @ 1500 MHZ)</t>
  </si>
  <si>
    <t>15 m (50 ft) TNC Macho para BNC Macho (Atenuação &lt; 0.05 dB/m @ 1500 MHz)</t>
  </si>
  <si>
    <t>25 m (82 ft) TNC Macho para BNC Macho (Atenuação &lt; 0.05 dB/m @ 1500 MHz)</t>
  </si>
  <si>
    <t>40 m (131 ft) TNC Macho para BNC Macho (Atenuação &lt; 0.05 dB/m @ 1500 MHz)</t>
  </si>
  <si>
    <t>25 m (82 ft) TNC Male to BNC Male (Attennuation &lt; 0,05 dB/m @ 1500 MHZ)</t>
  </si>
  <si>
    <t>40 m (131 ft) TNC Male to BNC Male (Attennuation &lt; 0,05 dB/m @ 1500 MHZ)</t>
  </si>
  <si>
    <t>75 m (246 ft) TNC Male to BNC Male (Attennuation &lt; 0,02 dB/m @ 1500 MHZ)</t>
  </si>
  <si>
    <t>100 m (328 ft) TNC Male to BNC Male (Attennuation &lt; 0,02 dB/m @ 1500 MHZ)</t>
  </si>
  <si>
    <t>75 m (246 ft) TNC Macho para BNC Macho (Atenuação &lt; 0.02 dB/m @ 1500 MHz)</t>
  </si>
  <si>
    <t>100 m (328 ft) TNC Macho para BNC Macho (Atenuação &lt; 0.02 dB/m @ 1500 MHz)</t>
  </si>
  <si>
    <t>15 m (50 ft) TNC macho a BNC macho (Atenuación &lt; 0.05 dB/m @ 1500 MHz)</t>
  </si>
  <si>
    <t>25 m (82 ft) TNC macho a BNC macho (Atenuación &lt; 0.05 dB/m @ 1500 MHz)</t>
  </si>
  <si>
    <t>40 m (131 ft) TNC macho a BNC macho (Atenuación &lt; 0.05 dB/m @ 1500 MHz)</t>
  </si>
  <si>
    <t>75 m (246 ft) TNC macho a BNC macho (Atenuación &lt; 0.02 dB/m @ 1500 MHz)</t>
  </si>
  <si>
    <t>100 m (328 ft) TNC macho a BNC macho (Atenuación &lt; 0.02 dB/m @ 1500 MHz)</t>
  </si>
  <si>
    <t>3.3V TNC Female active GNSS antenna</t>
  </si>
  <si>
    <t>3.3V TNC ativo fêmea antena GNSS</t>
  </si>
  <si>
    <t>3.3 V TNC activo hembra GNSS</t>
  </si>
  <si>
    <t>Latest available firmware</t>
  </si>
  <si>
    <t>Última versão disponível</t>
  </si>
  <si>
    <t>Última versión disponible</t>
  </si>
  <si>
    <t>100-250 Vdc / 110-240 Vac</t>
  </si>
  <si>
    <t>100-250 Vcc / 110-240 Vca</t>
  </si>
  <si>
    <t>New firmware release</t>
  </si>
  <si>
    <t>Nova versão de firmware</t>
  </si>
  <si>
    <t>Nueva versión de firmware</t>
  </si>
  <si>
    <t>07</t>
  </si>
  <si>
    <t>Base date:</t>
  </si>
  <si>
    <t>Key date:</t>
  </si>
  <si>
    <t>Pos</t>
  </si>
  <si>
    <t>Description</t>
  </si>
  <si>
    <t>Option</t>
  </si>
  <si>
    <t>Code</t>
  </si>
  <si>
    <t>Cost</t>
  </si>
  <si>
    <t>Avail.</t>
  </si>
  <si>
    <t>Chassis</t>
  </si>
  <si>
    <t>Y</t>
  </si>
  <si>
    <t>Date Drivers start reference</t>
  </si>
  <si>
    <t>Model type:</t>
  </si>
  <si>
    <t>Date Drivers finish reference</t>
  </si>
  <si>
    <t>CORTEC:</t>
  </si>
  <si>
    <t>Orders on request</t>
  </si>
  <si>
    <t>Venda sob-consulta</t>
  </si>
  <si>
    <t>Pedidos mediante consulta</t>
  </si>
  <si>
    <t>Número da versão do firmware</t>
  </si>
  <si>
    <t>Número de versión del firmware</t>
  </si>
  <si>
    <t>Constelaciónes de satélites soportadas</t>
  </si>
  <si>
    <t>Sistemas de navegação suportados</t>
  </si>
  <si>
    <t>Satellite constellations supported</t>
  </si>
  <si>
    <t>GPS</t>
  </si>
  <si>
    <t>GPS and GLONASS</t>
  </si>
  <si>
    <t>GPS e GLONASS</t>
  </si>
  <si>
    <t>GPS y GLONASS</t>
  </si>
  <si>
    <t>Oscillator Type</t>
  </si>
  <si>
    <t>Tipo de Oscilador</t>
  </si>
  <si>
    <t>OCXO</t>
  </si>
  <si>
    <t>GNSS Grandmaster Clock</t>
  </si>
  <si>
    <t>Alimentación 1</t>
  </si>
  <si>
    <t>GNSS version</t>
  </si>
  <si>
    <t>Versão GNSS</t>
  </si>
  <si>
    <t>Versión GNSS</t>
  </si>
  <si>
    <t>Ethernet Interface 1 and 2</t>
  </si>
  <si>
    <t>Interface Ethernet 1 e 2</t>
  </si>
  <si>
    <t>Interfaz Ethernet 1 y 2</t>
  </si>
  <si>
    <t>Ethernet Interface 3 and 4</t>
  </si>
  <si>
    <t>Interface Ethernet 3 e 4</t>
  </si>
  <si>
    <t>Interfaz Ethernet 3 y 4</t>
  </si>
  <si>
    <t>RT434</t>
  </si>
  <si>
    <t>Changed antenna cable length for option 3</t>
  </si>
  <si>
    <t>Alterado comprimento do cabo de antena para a opção 3</t>
  </si>
  <si>
    <t>Cambiado el comprimiento del cable de la antena para opción 3</t>
  </si>
  <si>
    <t>Changed firmware to version 06, enabled the PRP+PTP option, added 24-48 Vdc power supply option</t>
  </si>
  <si>
    <t>Alterada a versão de firmware para 06 e habilitada a opção de PRP+PTP, adicionada a opção de fonte 24-48 Vcc</t>
  </si>
  <si>
    <t>Cambiada la vérsion de firmware para 06 y habilitada la opción PRP+PTP, añadida la opción de alimentación 24-48 Vcc</t>
  </si>
  <si>
    <t>Changed antenna and antenna cable description</t>
  </si>
  <si>
    <t>Alteradas as descrições de antena e cabos</t>
  </si>
  <si>
    <t>Cambiadas las descripciones de antenas y cables</t>
  </si>
  <si>
    <t>New hardware and firmware release with GNSS receiver and optional oscillators</t>
  </si>
  <si>
    <t>Nova versão de hardware e firmware com receiver GNSS e osciladores opcionais</t>
  </si>
  <si>
    <t>Nueva versión de hardware y firmware con receptor GNSS y osciladores opcionales</t>
  </si>
  <si>
    <t>D</t>
  </si>
  <si>
    <t>E</t>
  </si>
  <si>
    <t>GE branding</t>
  </si>
  <si>
    <t>Marca GE</t>
  </si>
  <si>
    <t>Changed branding to GE</t>
  </si>
  <si>
    <t>Alterada a marca para GE</t>
  </si>
  <si>
    <t>Cambiada la marca para GE</t>
  </si>
  <si>
    <t>F</t>
  </si>
  <si>
    <t>TCXO</t>
  </si>
  <si>
    <t>15 m (50 ft) TNC Male to BNC Male (Attennuation &lt; 0.5 dB/m @ 1500 MHZ)</t>
  </si>
  <si>
    <t>15 m (50 ft) TNC Macho para BNC Macho (Atenuação &lt; 0,5 dB/m @ 1500 MHz)</t>
  </si>
  <si>
    <t>15 m (50 ft) TNC macho a BNC macho (Atenuación &lt; 0,5 dB/m @ 1500 MHz)</t>
  </si>
  <si>
    <t>25 m (82 ft) TNC Male to BNC Male (Attennuation &lt; 0.5 dB/m @ 1500 MHZ)</t>
  </si>
  <si>
    <t>25 m (82 ft) TNC Macho para BNC Macho (Atenuação &lt; 0,5 dB/m @ 1500 MHz)</t>
  </si>
  <si>
    <t>25 m (82 ft) TNC macho a BNC macho (Atenuación &lt; 0,5 dB/m @ 1500 MHz)</t>
  </si>
  <si>
    <t>40 m (131 ft) TNC Male to BNC Male (Attennuation &lt; 0.5 dB/m @ 1500 MHZ)</t>
  </si>
  <si>
    <t>40 m (131 ft) TNC Macho para BNC Macho (Atenuação &lt; 0,5 dB/m @ 1500 MHz)</t>
  </si>
  <si>
    <t>40 m (131 ft) TNC macho a BNC macho (Atenuación &lt; 0,5 dB/m @ 1500 MHz)</t>
  </si>
  <si>
    <t>75 m (246 ft) TNC Male to BNC Male (Attennuation &lt; 0.2 dB/m @ 1500 MHZ)</t>
  </si>
  <si>
    <t>75 m (246 ft) TNC Macho para BNC Macho (Atenuação &lt; 0,2 dB/m @ 1500 MHz)</t>
  </si>
  <si>
    <t>75 m (246 ft) TNC macho a BNC macho (Atenuación &lt; 0,2 dB/m @ 1500 MHz)</t>
  </si>
  <si>
    <t>100 m (328 ft) TNC Male to BNC Male (Attennuation &lt; 0.2 dB/m @ 1500 MHZ)</t>
  </si>
  <si>
    <t>100 m (328 ft) TNC Macho para BNC Macho (Atenuação &lt; 0,2 dB/m @ 1500 MHz)</t>
  </si>
  <si>
    <t>100 m (328 ft) TNC macho a BNC macho (Atenuación &lt; 0,2 dB/m @ 1500 MHz)</t>
  </si>
  <si>
    <t>Cables attenuation fixed</t>
  </si>
  <si>
    <t>Corrigido atenuação dos cabos</t>
  </si>
  <si>
    <t>Corrección em la atenuación de los cabos</t>
  </si>
  <si>
    <t>G</t>
  </si>
  <si>
    <t>08</t>
  </si>
  <si>
    <t>Added firmware version 08</t>
  </si>
  <si>
    <t>Adicionada a versão de firmware 08</t>
  </si>
  <si>
    <t>Añadida la vérsion de firmware 08</t>
  </si>
  <si>
    <t>11</t>
  </si>
  <si>
    <t>12</t>
  </si>
  <si>
    <t>13-14</t>
  </si>
  <si>
    <t>H</t>
  </si>
  <si>
    <t>150 m (492 ft) TNC Male to BNC Male (Attennuation &lt; 0.2 dB/m @ 1500 MHZ)</t>
  </si>
  <si>
    <t>150 m (492 ft) TNC Macho para BNC Macho (Atenuação &lt; 0,2 dB/m @ 1500 MHz)</t>
  </si>
  <si>
    <t>150 m (492 ft) TNC macho a BNC macho (Atenuación &lt; 0,2 dB/m @ 1500 MHz)</t>
  </si>
  <si>
    <t>GNSS Precision-Time Clock</t>
  </si>
  <si>
    <t>Option only available if "N" or "P" selected in Ethernet Interface 1 and 2</t>
  </si>
  <si>
    <t>Option only available if "P" selected in Ethernet Interface 1 and 2</t>
  </si>
  <si>
    <t>Option not available due to Ethernet Inferface 1 and 2 selection</t>
  </si>
  <si>
    <t>Name updated to "GNSS Precision-Time Clock" 
Added 150 m cable option
Eth3 and 4 options depending on Eth1 and 2 selection</t>
  </si>
  <si>
    <t>Opção não disponível devido à seleção da Interface Ethernet 1 e 2</t>
  </si>
  <si>
    <t>Opção disponível apenas se "N" ou "P" for selecionado na Interface Ethernet 1 e 2</t>
  </si>
  <si>
    <t>Opção disponível apenas se "P" for selecionado na Interface Ethernet 1 e 2</t>
  </si>
  <si>
    <t>Nome atualizado para "GNSS Precision-Time Clock"
Adicionado opção de cabo de 150 m
Opções da Eth3 e 4 dependem da seleção da Eth1 e 2</t>
  </si>
  <si>
    <t>Opción no disponible debido la selección de Interfaz Ethernet 1 y 2</t>
  </si>
  <si>
    <t>Esta opción sólo está disponible si "N" o "P" está seleccionado en la Interfaz Ethernet 1 y 2</t>
  </si>
  <si>
    <t>Esta opción sólo está disponible si "P" está seleccionado en la Interfaz Ethernet 1 y 2</t>
  </si>
  <si>
    <t>Nombre actualizado a "GNSS Precision-Time Clock"
Añadida la opción de cable de 150 m
Opciones Eth3 y 4 dependen de la selección de Eth1 y 2</t>
  </si>
  <si>
    <t>Configurator Support for Eth Interface 2 Macro Control</t>
  </si>
  <si>
    <t>I</t>
  </si>
  <si>
    <t>(withdraw)</t>
  </si>
  <si>
    <t>(obsoleto)</t>
  </si>
  <si>
    <t>J</t>
  </si>
  <si>
    <t>Q020</t>
  </si>
  <si>
    <t>Q002</t>
  </si>
  <si>
    <t>Q003</t>
  </si>
  <si>
    <t>Q005</t>
  </si>
  <si>
    <t>Q010</t>
  </si>
  <si>
    <t>Q065</t>
  </si>
  <si>
    <t>Accessories tab added and firmware version 07 withdraw</t>
  </si>
  <si>
    <t>Aba de acessórios adicionada e versão de firmware 07 obsoleta</t>
  </si>
  <si>
    <t>Acrescentada tabla de accesorios y versión de firmware 07 obsoleta</t>
  </si>
  <si>
    <t>Accessories</t>
  </si>
  <si>
    <t>Acessórios</t>
  </si>
  <si>
    <t>Accesorios</t>
  </si>
  <si>
    <t>Código</t>
  </si>
  <si>
    <t>Descrição</t>
  </si>
  <si>
    <t>Descripción</t>
  </si>
  <si>
    <t>Wall kit mounting for GNSS Antenna (Q020)</t>
  </si>
  <si>
    <t>Kit de montagem de parede para antena GNSS (Q020)</t>
  </si>
  <si>
    <t>Kit de montaje de pared para antena GNSS (Q020)</t>
  </si>
  <si>
    <t>End-of-manufacturing of antenna cable options 15m (50ft), 75m (246ft), 150m (492ft) as per  GER-4938 notice</t>
  </si>
  <si>
    <t>Fim da fabricação das opções de cabo de antena de 15m, 75m, 150m conforme aviso GER-4938</t>
  </si>
  <si>
    <t>Fin de fabricación de opciones de cable de antena de 15m, 75m, 150m según aviso GER-4938</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</si>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</sst>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indexed="8"/>
      <name val="Arial"/>
      <family val="2"/>
    </font>
    <font>
      <sz val="10"/>
      <name val="Arial"/>
      <family val="2"/>
    </font>
    <font>
      <sz val="11"/>
      <name val="Arial"/>
      <family val="2"/>
    </font>
    <font>
      <sz val="9"/>
      <name val="Arial"/>
      <family val="2"/>
    </font>
    <font>
      <b/>
      <sz val="10"/>
      <name val="Arial"/>
      <family val="2"/>
    </font>
    <font>
      <sz val="10"/>
      <color indexed="9"/>
      <name val="Arial"/>
      <family val="2"/>
    </font>
    <font>
      <sz val="11"/>
      <color indexed="8"/>
      <name val="Arial"/>
      <family val="2"/>
    </font>
    <font>
      <sz val="9"/>
      <color indexed="8"/>
      <name val="Arial"/>
      <family val="2"/>
    </font>
    <font>
      <b/>
      <sz val="9"/>
      <color indexed="10"/>
      <name val="Arial"/>
      <family val="2"/>
    </font>
    <font>
      <b/>
      <sz val="9"/>
      <color indexed="8"/>
      <name val="Arial"/>
      <family val="2"/>
    </font>
    <font>
      <sz val="11"/>
      <color indexed="30"/>
      <name val="Arial"/>
      <family val="2"/>
    </font>
    <font>
      <b/>
      <sz val="14"/>
      <color indexed="10"/>
      <name val="Arial"/>
      <family val="2"/>
    </font>
    <font>
      <sz val="12"/>
      <color indexed="8"/>
      <name val="Arial"/>
      <family val="2"/>
    </font>
    <font>
      <b/>
      <sz val="14"/>
      <color indexed="8"/>
      <name val="Arial"/>
      <family val="2"/>
    </font>
    <font>
      <sz val="14"/>
      <color indexed="8"/>
      <name val="Arial"/>
      <family val="2"/>
    </font>
    <font>
      <b/>
      <sz val="11"/>
      <color indexed="8"/>
      <name val="Arial"/>
      <family val="2"/>
    </font>
    <font>
      <sz val="11"/>
      <color indexed="10"/>
      <name val="Arial"/>
      <family val="2"/>
    </font>
    <font>
      <b/>
      <sz val="12"/>
      <color indexed="10"/>
      <name val="Arial"/>
      <family val="2"/>
    </font>
    <font>
      <sz val="8"/>
      <name val="Calibri"/>
      <family val="2"/>
    </font>
    <font>
      <b/>
      <sz val="12"/>
      <color indexed="12"/>
      <name val="Arial"/>
      <family val="2"/>
    </font>
    <font>
      <b/>
      <sz val="11"/>
      <name val="Arial"/>
      <family val="2"/>
    </font>
    <font>
      <sz val="9"/>
      <color theme="1"/>
      <name val="Arial"/>
      <family val="2"/>
    </font>
    <font>
      <sz val="11"/>
      <color rgb="FFFF0000"/>
      <name val="Arial"/>
      <family val="2"/>
    </font>
    <font>
      <b/>
      <sz val="9"/>
      <color theme="0"/>
      <name val="Arial"/>
      <family val="2"/>
    </font>
    <font>
      <b/>
      <sz val="16"/>
      <color rgb="FFFF0000"/>
      <name val="Arial"/>
      <family val="2"/>
    </font>
    <font>
      <b/>
      <sz val="11"/>
      <color indexed="9"/>
      <name val="Arial"/>
      <family val="2"/>
    </font>
    <font>
      <sz val="11"/>
      <color indexed="9"/>
      <name val="Arial"/>
      <family val="2"/>
    </font>
    <font>
      <sz val="11"/>
      <color theme="0"/>
      <name val="Arial"/>
      <family val="2"/>
    </font>
    <font>
      <sz val="11"/>
      <color theme="1"/>
      <name val="Arial"/>
      <family val="2"/>
    </font>
  </fonts>
  <fills count="17">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indexed="23"/>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rgb="FF969696"/>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1"/>
        <bgColor indexed="64"/>
      </patternFill>
    </fill>
    <fill>
      <patternFill patternType="solid">
        <fgColor theme="1" tint="0.499984740745262"/>
        <bgColor indexed="64"/>
      </patternFill>
    </fill>
    <fill>
      <patternFill patternType="solid">
        <fgColor theme="4"/>
        <bgColor indexed="64"/>
      </patternFill>
    </fill>
    <fill>
      <patternFill patternType="solid">
        <fgColor theme="0"/>
        <bgColor indexed="64"/>
      </patternFill>
    </fill>
  </fills>
  <borders count="35">
    <border>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ck">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s>
  <cellStyleXfs count="4">
    <xf numFmtId="0" fontId="0" fillId="0" borderId="0"/>
    <xf numFmtId="0" fontId="2" fillId="0" borderId="0"/>
    <xf numFmtId="0" fontId="2" fillId="0" borderId="0"/>
    <xf numFmtId="0" fontId="3" fillId="0" borderId="0"/>
  </cellStyleXfs>
  <cellXfs count="271">
    <xf numFmtId="0" fontId="0" fillId="0" borderId="0" xfId="0"/>
    <xf numFmtId="0" fontId="3" fillId="0" borderId="0" xfId="3"/>
    <xf numFmtId="0" fontId="7" fillId="0" borderId="0" xfId="0" applyFont="1"/>
    <xf numFmtId="0" fontId="8" fillId="0" borderId="0" xfId="0" applyFont="1"/>
    <xf numFmtId="0" fontId="10" fillId="0" borderId="3" xfId="0" applyFont="1" applyBorder="1"/>
    <xf numFmtId="0" fontId="8" fillId="0" borderId="1" xfId="0" applyFont="1" applyBorder="1" applyAlignment="1">
      <alignment horizontal="center" vertical="center"/>
    </xf>
    <xf numFmtId="0" fontId="10" fillId="0" borderId="5" xfId="0" applyFont="1" applyBorder="1"/>
    <xf numFmtId="0" fontId="4" fillId="0" borderId="6" xfId="0" applyNumberFormat="1" applyFont="1" applyBorder="1" applyAlignment="1">
      <alignment horizontal="center" vertical="center"/>
    </xf>
    <xf numFmtId="0" fontId="4" fillId="0" borderId="7" xfId="0" applyNumberFormat="1" applyFont="1" applyBorder="1" applyAlignment="1">
      <alignment horizontal="center" vertical="center"/>
    </xf>
    <xf numFmtId="0" fontId="8" fillId="0" borderId="0" xfId="0" applyFont="1" applyAlignment="1">
      <alignment horizontal="center"/>
    </xf>
    <xf numFmtId="0" fontId="8" fillId="0" borderId="6" xfId="0" applyFont="1" applyBorder="1" applyAlignment="1">
      <alignment horizontal="center" vertical="center"/>
    </xf>
    <xf numFmtId="0" fontId="8" fillId="0" borderId="6" xfId="0" applyFont="1" applyBorder="1" applyAlignment="1">
      <alignment horizontal="center"/>
    </xf>
    <xf numFmtId="0" fontId="8" fillId="0" borderId="7"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center"/>
    </xf>
    <xf numFmtId="0" fontId="8" fillId="0" borderId="0" xfId="0" applyFont="1" applyAlignment="1">
      <alignment horizontal="center" vertical="center"/>
    </xf>
    <xf numFmtId="0" fontId="10" fillId="0" borderId="8" xfId="0" applyFont="1" applyBorder="1"/>
    <xf numFmtId="0" fontId="8" fillId="0" borderId="9" xfId="0" applyFont="1" applyBorder="1" applyAlignment="1">
      <alignment horizontal="center"/>
    </xf>
    <xf numFmtId="0" fontId="10" fillId="0" borderId="0" xfId="0" applyFont="1" applyBorder="1"/>
    <xf numFmtId="0" fontId="8" fillId="2" borderId="8" xfId="0" applyFont="1" applyFill="1" applyBorder="1" applyAlignment="1">
      <alignment horizontal="center"/>
    </xf>
    <xf numFmtId="0" fontId="8" fillId="0" borderId="10" xfId="0" applyFont="1" applyBorder="1" applyAlignment="1">
      <alignment horizontal="center"/>
    </xf>
    <xf numFmtId="0" fontId="9" fillId="0" borderId="0" xfId="0" applyFont="1"/>
    <xf numFmtId="14" fontId="9" fillId="0" borderId="3" xfId="0" applyNumberFormat="1" applyFont="1" applyBorder="1" applyAlignment="1">
      <alignment horizontal="left"/>
    </xf>
    <xf numFmtId="0" fontId="7" fillId="0" borderId="0" xfId="0" applyFont="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3" fillId="0" borderId="0" xfId="0" applyFont="1"/>
    <xf numFmtId="0" fontId="7" fillId="0" borderId="12" xfId="0" applyFont="1" applyBorder="1"/>
    <xf numFmtId="0" fontId="15" fillId="0" borderId="12" xfId="0" applyFont="1" applyBorder="1"/>
    <xf numFmtId="0" fontId="15" fillId="0" borderId="4" xfId="0" applyFont="1" applyBorder="1"/>
    <xf numFmtId="0" fontId="8" fillId="0" borderId="7" xfId="0" applyFont="1" applyBorder="1" applyAlignment="1">
      <alignment horizontal="center" vertical="center"/>
    </xf>
    <xf numFmtId="0" fontId="7" fillId="0" borderId="0" xfId="0" applyFont="1" applyBorder="1"/>
    <xf numFmtId="0" fontId="2" fillId="0" borderId="0" xfId="2" applyBorder="1"/>
    <xf numFmtId="0" fontId="7" fillId="0" borderId="13" xfId="0" applyFont="1" applyBorder="1"/>
    <xf numFmtId="0" fontId="7" fillId="0" borderId="14" xfId="0" applyFont="1" applyBorder="1"/>
    <xf numFmtId="0" fontId="7" fillId="0" borderId="15" xfId="0" applyFont="1" applyBorder="1"/>
    <xf numFmtId="0" fontId="20" fillId="0" borderId="16" xfId="0" applyFont="1" applyBorder="1"/>
    <xf numFmtId="0" fontId="8" fillId="0" borderId="8" xfId="0" quotePrefix="1" applyFont="1" applyBorder="1" applyAlignment="1">
      <alignment horizontal="center"/>
    </xf>
    <xf numFmtId="0" fontId="2" fillId="0" borderId="0" xfId="2" applyBorder="1" applyAlignment="1">
      <alignment horizontal="center"/>
    </xf>
    <xf numFmtId="0" fontId="2" fillId="0" borderId="0" xfId="2"/>
    <xf numFmtId="0" fontId="2" fillId="0" borderId="5" xfId="2" applyFont="1" applyBorder="1"/>
    <xf numFmtId="0" fontId="2" fillId="0" borderId="3" xfId="2" applyFont="1" applyBorder="1"/>
    <xf numFmtId="0" fontId="2" fillId="0" borderId="3" xfId="2" applyFont="1" applyBorder="1" applyAlignment="1">
      <alignment horizontal="right"/>
    </xf>
    <xf numFmtId="0" fontId="2" fillId="0" borderId="8" xfId="2" quotePrefix="1" applyFont="1" applyBorder="1" applyAlignment="1">
      <alignment horizontal="center"/>
    </xf>
    <xf numFmtId="0" fontId="2" fillId="0" borderId="8" xfId="2" applyBorder="1" applyAlignment="1">
      <alignment horizontal="center"/>
    </xf>
    <xf numFmtId="0" fontId="2" fillId="0" borderId="8" xfId="2" quotePrefix="1" applyBorder="1" applyAlignment="1">
      <alignment horizontal="center"/>
    </xf>
    <xf numFmtId="0" fontId="5" fillId="0" borderId="11" xfId="2" applyFont="1" applyBorder="1"/>
    <xf numFmtId="0" fontId="2" fillId="5" borderId="0" xfId="2" applyFill="1" applyBorder="1" applyAlignment="1">
      <alignment horizontal="center"/>
    </xf>
    <xf numFmtId="0" fontId="2" fillId="3" borderId="0" xfId="2" applyFill="1" applyBorder="1" applyAlignment="1">
      <alignment horizontal="center"/>
    </xf>
    <xf numFmtId="0" fontId="2" fillId="4" borderId="0" xfId="2" applyFill="1" applyBorder="1" applyAlignment="1">
      <alignment horizontal="center"/>
    </xf>
    <xf numFmtId="0" fontId="2" fillId="8" borderId="0" xfId="2" applyFill="1" applyBorder="1" applyAlignment="1">
      <alignment horizontal="center"/>
    </xf>
    <xf numFmtId="0" fontId="2" fillId="9" borderId="0" xfId="2" applyFill="1" applyBorder="1" applyAlignment="1">
      <alignment horizontal="center"/>
    </xf>
    <xf numFmtId="0" fontId="2" fillId="10" borderId="0" xfId="2" applyFill="1" applyBorder="1" applyAlignment="1">
      <alignment horizontal="center"/>
    </xf>
    <xf numFmtId="0" fontId="2" fillId="0" borderId="11" xfId="2" applyFont="1" applyBorder="1"/>
    <xf numFmtId="0" fontId="2" fillId="0" borderId="0" xfId="2" applyFont="1" applyBorder="1"/>
    <xf numFmtId="0" fontId="2" fillId="0" borderId="0" xfId="2" applyFont="1"/>
    <xf numFmtId="0" fontId="2" fillId="0" borderId="17" xfId="2" applyFont="1" applyBorder="1"/>
    <xf numFmtId="0" fontId="2" fillId="0" borderId="18" xfId="2" applyFont="1" applyBorder="1"/>
    <xf numFmtId="0" fontId="2" fillId="0" borderId="18" xfId="2" applyFont="1" applyBorder="1" applyAlignment="1">
      <alignment horizontal="center"/>
    </xf>
    <xf numFmtId="0" fontId="2" fillId="0" borderId="0" xfId="2" applyFont="1" applyBorder="1" applyAlignment="1">
      <alignment horizontal="center"/>
    </xf>
    <xf numFmtId="0" fontId="2" fillId="0" borderId="8" xfId="2" applyFont="1" applyFill="1" applyBorder="1" applyAlignment="1">
      <alignment horizontal="center"/>
    </xf>
    <xf numFmtId="0" fontId="2" fillId="0" borderId="18" xfId="2" applyFont="1" applyFill="1" applyBorder="1" applyAlignment="1">
      <alignment horizontal="center"/>
    </xf>
    <xf numFmtId="0" fontId="2" fillId="0" borderId="0" xfId="2" applyFont="1" applyFill="1" applyBorder="1" applyAlignment="1">
      <alignment horizontal="center"/>
    </xf>
    <xf numFmtId="0" fontId="2" fillId="0" borderId="3" xfId="2" applyFont="1" applyBorder="1" applyAlignment="1">
      <alignment horizontal="center"/>
    </xf>
    <xf numFmtId="0" fontId="2" fillId="0" borderId="3" xfId="2" applyFont="1" applyFill="1" applyBorder="1" applyAlignment="1">
      <alignment horizontal="center"/>
    </xf>
    <xf numFmtId="0" fontId="2" fillId="0" borderId="18" xfId="2" applyBorder="1"/>
    <xf numFmtId="0" fontId="2" fillId="0" borderId="0" xfId="2" applyAlignment="1">
      <alignment horizontal="center"/>
    </xf>
    <xf numFmtId="0" fontId="7" fillId="0" borderId="19" xfId="0" applyFont="1" applyBorder="1"/>
    <xf numFmtId="0" fontId="7" fillId="0" borderId="20" xfId="0" applyFont="1" applyBorder="1"/>
    <xf numFmtId="0" fontId="11" fillId="0" borderId="0" xfId="0" applyFont="1" applyBorder="1"/>
    <xf numFmtId="0" fontId="20" fillId="0" borderId="16" xfId="0" applyFont="1" applyBorder="1" applyAlignment="1">
      <alignment vertical="center"/>
    </xf>
    <xf numFmtId="0" fontId="7" fillId="0" borderId="0" xfId="0" applyFont="1" applyBorder="1" applyAlignment="1">
      <alignment vertical="center"/>
    </xf>
    <xf numFmtId="0" fontId="2" fillId="0" borderId="18" xfId="2" applyBorder="1" applyAlignment="1">
      <alignment horizontal="center"/>
    </xf>
    <xf numFmtId="0" fontId="8" fillId="0" borderId="9" xfId="0" applyFont="1" applyBorder="1" applyAlignment="1">
      <alignment horizontal="center" vertical="center"/>
    </xf>
    <xf numFmtId="0" fontId="2" fillId="0" borderId="10" xfId="2" applyBorder="1" applyAlignment="1">
      <alignment horizontal="center"/>
    </xf>
    <xf numFmtId="0" fontId="5" fillId="0" borderId="6" xfId="0" applyFont="1" applyFill="1" applyBorder="1"/>
    <xf numFmtId="0" fontId="2" fillId="0" borderId="0" xfId="2" applyFont="1" applyFill="1" applyBorder="1"/>
    <xf numFmtId="0" fontId="2" fillId="0" borderId="17" xfId="2" applyFont="1" applyFill="1" applyBorder="1"/>
    <xf numFmtId="0" fontId="2" fillId="0" borderId="18" xfId="2" applyFont="1" applyFill="1" applyBorder="1"/>
    <xf numFmtId="0" fontId="2" fillId="0" borderId="3" xfId="2" applyFont="1" applyFill="1" applyBorder="1"/>
    <xf numFmtId="0" fontId="8" fillId="0" borderId="0" xfId="0" applyFont="1" applyBorder="1"/>
    <xf numFmtId="0" fontId="6" fillId="6" borderId="5" xfId="2" applyFont="1" applyFill="1" applyBorder="1" applyAlignment="1">
      <alignment vertical="center"/>
    </xf>
    <xf numFmtId="0" fontId="6" fillId="0" borderId="7" xfId="2" applyFont="1" applyFill="1" applyBorder="1" applyAlignment="1">
      <alignment horizontal="center" vertical="center"/>
    </xf>
    <xf numFmtId="0" fontId="2" fillId="0" borderId="0" xfId="2" applyAlignment="1">
      <alignment vertical="center"/>
    </xf>
    <xf numFmtId="0" fontId="2" fillId="0" borderId="7" xfId="2" applyFont="1" applyFill="1" applyBorder="1" applyAlignment="1">
      <alignment horizontal="center"/>
    </xf>
    <xf numFmtId="0" fontId="2" fillId="0" borderId="7" xfId="2" applyFill="1" applyBorder="1" applyAlignment="1">
      <alignment horizontal="center"/>
    </xf>
    <xf numFmtId="0" fontId="2" fillId="9" borderId="1" xfId="2" applyFill="1" applyBorder="1" applyAlignment="1">
      <alignment horizontal="center"/>
    </xf>
    <xf numFmtId="0" fontId="2" fillId="0" borderId="21" xfId="2" applyFont="1" applyBorder="1"/>
    <xf numFmtId="0" fontId="2" fillId="0" borderId="12" xfId="2" applyBorder="1"/>
    <xf numFmtId="0" fontId="2" fillId="0" borderId="12" xfId="2" applyBorder="1" applyAlignment="1">
      <alignment horizontal="center"/>
    </xf>
    <xf numFmtId="0" fontId="2" fillId="0" borderId="17" xfId="2" applyBorder="1"/>
    <xf numFmtId="0" fontId="10" fillId="0" borderId="5" xfId="0" applyFont="1" applyBorder="1" applyAlignment="1">
      <alignment horizontal="left" vertical="center"/>
    </xf>
    <xf numFmtId="0" fontId="7" fillId="11" borderId="0" xfId="0" applyFont="1" applyFill="1" applyBorder="1" applyAlignment="1">
      <alignment horizontal="center" vertical="center"/>
    </xf>
    <xf numFmtId="0" fontId="7" fillId="10" borderId="0" xfId="0" applyFont="1" applyFill="1" applyBorder="1" applyAlignment="1">
      <alignment horizontal="center" vertical="center"/>
    </xf>
    <xf numFmtId="0" fontId="7" fillId="10" borderId="18" xfId="0" applyFont="1" applyFill="1" applyBorder="1" applyAlignment="1">
      <alignment horizontal="center" vertical="center"/>
    </xf>
    <xf numFmtId="0" fontId="7" fillId="11" borderId="18" xfId="0" applyFont="1" applyFill="1" applyBorder="1" applyAlignment="1">
      <alignment horizontal="center" vertical="center"/>
    </xf>
    <xf numFmtId="0" fontId="7" fillId="10" borderId="21" xfId="0" applyFont="1" applyFill="1" applyBorder="1" applyAlignment="1">
      <alignment horizontal="center" vertical="center"/>
    </xf>
    <xf numFmtId="0" fontId="7" fillId="11" borderId="21" xfId="0" applyFont="1" applyFill="1" applyBorder="1" applyAlignment="1">
      <alignment horizontal="center" vertical="center"/>
    </xf>
    <xf numFmtId="0" fontId="7" fillId="0" borderId="19" xfId="0" applyFont="1" applyBorder="1" applyAlignment="1">
      <alignment horizontal="center" vertical="center"/>
    </xf>
    <xf numFmtId="0" fontId="7" fillId="0" borderId="23" xfId="0" applyFont="1" applyBorder="1"/>
    <xf numFmtId="0" fontId="13" fillId="0" borderId="23" xfId="0" applyFont="1" applyBorder="1"/>
    <xf numFmtId="0" fontId="13" fillId="0" borderId="13" xfId="0" applyFont="1" applyBorder="1"/>
    <xf numFmtId="0" fontId="20" fillId="0" borderId="24" xfId="0" applyFont="1" applyBorder="1" applyAlignment="1">
      <alignment vertical="center"/>
    </xf>
    <xf numFmtId="0" fontId="7" fillId="0" borderId="24" xfId="0" applyFont="1" applyBorder="1"/>
    <xf numFmtId="0" fontId="7" fillId="0" borderId="25" xfId="0" applyFont="1" applyBorder="1"/>
    <xf numFmtId="0" fontId="7" fillId="0" borderId="14" xfId="0" applyFont="1" applyBorder="1" applyAlignment="1">
      <alignment horizontal="center" vertical="center"/>
    </xf>
    <xf numFmtId="0" fontId="22" fillId="0" borderId="0" xfId="0" applyFont="1" applyAlignment="1">
      <alignment horizontal="center" vertical="center"/>
    </xf>
    <xf numFmtId="0" fontId="22" fillId="0" borderId="0" xfId="0" applyFont="1"/>
    <xf numFmtId="0" fontId="22" fillId="0" borderId="0" xfId="0" applyFont="1" applyAlignment="1">
      <alignment horizontal="center"/>
    </xf>
    <xf numFmtId="0" fontId="22" fillId="0" borderId="0" xfId="0" applyFont="1" applyAlignment="1">
      <alignment wrapText="1"/>
    </xf>
    <xf numFmtId="0" fontId="22" fillId="12" borderId="8" xfId="0" applyFont="1" applyFill="1" applyBorder="1" applyAlignment="1">
      <alignment horizontal="center" vertical="center"/>
    </xf>
    <xf numFmtId="0" fontId="22" fillId="12" borderId="12" xfId="0" applyFont="1" applyFill="1" applyBorder="1"/>
    <xf numFmtId="0" fontId="22" fillId="12" borderId="8" xfId="0" applyFont="1" applyFill="1" applyBorder="1" applyAlignment="1">
      <alignment horizontal="center"/>
    </xf>
    <xf numFmtId="0" fontId="22" fillId="0" borderId="0" xfId="0" applyFont="1" applyBorder="1"/>
    <xf numFmtId="0" fontId="22" fillId="0" borderId="7" xfId="0" applyFont="1" applyBorder="1" applyAlignment="1">
      <alignment horizontal="center" vertical="center"/>
    </xf>
    <xf numFmtId="0" fontId="22" fillId="0" borderId="7" xfId="0" applyFont="1" applyBorder="1" applyAlignment="1">
      <alignment horizontal="center"/>
    </xf>
    <xf numFmtId="0" fontId="22" fillId="0" borderId="9" xfId="0" applyFont="1" applyBorder="1" applyAlignment="1">
      <alignment horizontal="center" vertical="center"/>
    </xf>
    <xf numFmtId="0" fontId="22" fillId="0" borderId="18" xfId="0" applyFont="1" applyBorder="1"/>
    <xf numFmtId="0" fontId="22" fillId="0" borderId="9" xfId="0" applyFont="1" applyBorder="1" applyAlignment="1">
      <alignment horizontal="center"/>
    </xf>
    <xf numFmtId="0" fontId="22" fillId="0" borderId="0" xfId="0" applyFont="1" applyAlignment="1">
      <alignment vertical="center" wrapText="1"/>
    </xf>
    <xf numFmtId="0" fontId="3" fillId="0" borderId="24" xfId="3" applyBorder="1"/>
    <xf numFmtId="0" fontId="3" fillId="0" borderId="0" xfId="3" applyBorder="1"/>
    <xf numFmtId="0" fontId="3" fillId="0" borderId="13" xfId="3" applyBorder="1"/>
    <xf numFmtId="0" fontId="3" fillId="0" borderId="25" xfId="3" applyBorder="1"/>
    <xf numFmtId="0" fontId="3" fillId="0" borderId="14" xfId="3" applyBorder="1"/>
    <xf numFmtId="0" fontId="3" fillId="0" borderId="15" xfId="3" applyBorder="1"/>
    <xf numFmtId="0" fontId="6" fillId="6" borderId="3" xfId="2" applyFont="1" applyFill="1" applyBorder="1" applyAlignment="1">
      <alignment vertical="center"/>
    </xf>
    <xf numFmtId="0" fontId="6" fillId="6" borderId="2" xfId="2" applyFont="1" applyFill="1" applyBorder="1" applyAlignment="1">
      <alignment vertical="center"/>
    </xf>
    <xf numFmtId="0" fontId="5" fillId="0" borderId="0" xfId="2" applyFont="1" applyBorder="1"/>
    <xf numFmtId="0" fontId="5" fillId="0" borderId="0" xfId="0" applyFont="1" applyFill="1" applyBorder="1"/>
    <xf numFmtId="0" fontId="5" fillId="0" borderId="3" xfId="0" applyFont="1" applyFill="1" applyBorder="1"/>
    <xf numFmtId="0" fontId="2" fillId="0" borderId="12" xfId="2" applyFont="1" applyBorder="1"/>
    <xf numFmtId="0" fontId="5" fillId="0" borderId="3" xfId="2" applyFont="1" applyBorder="1"/>
    <xf numFmtId="0" fontId="22" fillId="0" borderId="0" xfId="0" applyFont="1" applyAlignment="1">
      <alignment horizontal="left" vertical="center" wrapText="1"/>
    </xf>
    <xf numFmtId="0" fontId="18" fillId="0" borderId="21" xfId="0" applyFont="1" applyBorder="1" applyProtection="1"/>
    <xf numFmtId="0" fontId="18" fillId="0" borderId="12" xfId="0" applyFont="1" applyBorder="1" applyProtection="1"/>
    <xf numFmtId="0" fontId="18" fillId="0" borderId="26" xfId="0" applyFont="1" applyBorder="1" applyProtection="1"/>
    <xf numFmtId="0" fontId="18" fillId="0" borderId="0" xfId="0" applyFont="1" applyBorder="1" applyProtection="1"/>
    <xf numFmtId="0" fontId="7" fillId="0" borderId="0" xfId="0" applyFont="1" applyBorder="1" applyProtection="1"/>
    <xf numFmtId="0" fontId="7" fillId="0" borderId="0" xfId="0" applyFont="1" applyProtection="1"/>
    <xf numFmtId="0" fontId="16" fillId="0" borderId="11" xfId="0" applyFont="1" applyBorder="1" applyProtection="1"/>
    <xf numFmtId="0" fontId="16" fillId="0" borderId="0" xfId="0" applyFont="1" applyBorder="1" applyProtection="1"/>
    <xf numFmtId="0" fontId="7" fillId="0" borderId="13" xfId="0" applyFont="1" applyBorder="1" applyProtection="1"/>
    <xf numFmtId="0" fontId="23" fillId="0" borderId="11" xfId="0" applyFont="1" applyBorder="1" applyProtection="1"/>
    <xf numFmtId="0" fontId="23" fillId="0" borderId="0" xfId="0" applyFont="1" applyBorder="1" applyProtection="1"/>
    <xf numFmtId="0" fontId="17" fillId="0" borderId="11" xfId="0" applyFont="1" applyBorder="1" applyProtection="1"/>
    <xf numFmtId="0" fontId="17" fillId="0" borderId="0" xfId="0" applyFont="1" applyBorder="1" applyProtection="1"/>
    <xf numFmtId="0" fontId="21" fillId="0" borderId="11" xfId="0" applyFont="1" applyBorder="1" applyProtection="1"/>
    <xf numFmtId="0" fontId="21" fillId="0" borderId="0" xfId="0" applyFont="1" applyBorder="1" applyProtection="1"/>
    <xf numFmtId="0" fontId="7" fillId="0" borderId="19" xfId="0" applyFont="1" applyBorder="1" applyProtection="1"/>
    <xf numFmtId="0" fontId="7" fillId="0" borderId="20" xfId="0" applyFont="1" applyBorder="1" applyProtection="1"/>
    <xf numFmtId="0" fontId="2" fillId="0" borderId="24" xfId="2" applyBorder="1" applyProtection="1"/>
    <xf numFmtId="0" fontId="2" fillId="0" borderId="0" xfId="2" applyBorder="1" applyProtection="1"/>
    <xf numFmtId="0" fontId="2" fillId="0" borderId="13" xfId="2" applyBorder="1" applyProtection="1"/>
    <xf numFmtId="0" fontId="2" fillId="0" borderId="24" xfId="2" applyBorder="1" applyAlignment="1" applyProtection="1">
      <alignment horizontal="center"/>
    </xf>
    <xf numFmtId="0" fontId="2" fillId="0" borderId="0" xfId="2" applyFont="1" applyBorder="1" applyAlignment="1" applyProtection="1"/>
    <xf numFmtId="16" fontId="7" fillId="0" borderId="0" xfId="0" applyNumberFormat="1" applyFont="1" applyBorder="1" applyProtection="1"/>
    <xf numFmtId="0" fontId="7" fillId="0" borderId="14" xfId="0" applyFont="1" applyBorder="1" applyProtection="1"/>
    <xf numFmtId="0" fontId="7" fillId="0" borderId="15" xfId="0" applyFont="1" applyBorder="1" applyProtection="1"/>
    <xf numFmtId="0" fontId="18" fillId="0" borderId="12" xfId="0" applyFont="1" applyBorder="1" applyAlignment="1" applyProtection="1">
      <alignment horizontal="center"/>
    </xf>
    <xf numFmtId="0" fontId="2" fillId="0" borderId="9" xfId="2" applyFont="1" applyBorder="1" applyAlignment="1">
      <alignment horizontal="center"/>
    </xf>
    <xf numFmtId="0" fontId="8" fillId="0" borderId="21" xfId="0" applyFont="1" applyBorder="1" applyAlignment="1">
      <alignment horizontal="center"/>
    </xf>
    <xf numFmtId="0" fontId="8" fillId="0" borderId="4" xfId="0" applyFont="1" applyBorder="1" applyAlignment="1">
      <alignment horizontal="right"/>
    </xf>
    <xf numFmtId="14" fontId="9" fillId="0" borderId="4" xfId="0" applyNumberFormat="1" applyFont="1" applyBorder="1" applyAlignment="1">
      <alignment horizontal="centerContinuous" vertical="center"/>
    </xf>
    <xf numFmtId="14" fontId="8" fillId="0" borderId="8" xfId="0" applyNumberFormat="1" applyFont="1" applyBorder="1" applyAlignment="1">
      <alignment horizontal="centerContinuous" vertical="center"/>
    </xf>
    <xf numFmtId="14" fontId="8" fillId="0" borderId="4" xfId="0" applyNumberFormat="1" applyFont="1" applyBorder="1" applyAlignment="1">
      <alignment horizontal="centerContinuous" vertical="center"/>
    </xf>
    <xf numFmtId="0" fontId="24" fillId="13" borderId="17" xfId="0" applyFont="1" applyFill="1" applyBorder="1" applyAlignment="1">
      <alignment horizontal="center"/>
    </xf>
    <xf numFmtId="0" fontId="24" fillId="13" borderId="9" xfId="0" applyFont="1" applyFill="1" applyBorder="1" applyAlignment="1">
      <alignment horizontal="center"/>
    </xf>
    <xf numFmtId="14" fontId="24" fillId="13" borderId="1" xfId="0" applyNumberFormat="1" applyFont="1" applyFill="1" applyBorder="1" applyAlignment="1">
      <alignment horizontal="center" vertical="center"/>
    </xf>
    <xf numFmtId="14" fontId="24" fillId="13" borderId="0" xfId="0" applyNumberFormat="1" applyFont="1" applyFill="1" applyBorder="1" applyAlignment="1">
      <alignment horizontal="center" vertical="center"/>
    </xf>
    <xf numFmtId="0" fontId="8" fillId="0" borderId="8" xfId="0" applyFont="1" applyBorder="1" applyAlignment="1">
      <alignment horizontal="center"/>
    </xf>
    <xf numFmtId="0" fontId="8" fillId="14" borderId="4" xfId="0" applyFont="1" applyFill="1" applyBorder="1" applyAlignment="1" applyProtection="1">
      <alignment horizontal="center" vertical="center"/>
      <protection locked="0"/>
    </xf>
    <xf numFmtId="0" fontId="8" fillId="14" borderId="12" xfId="0" applyFont="1" applyFill="1" applyBorder="1" applyAlignment="1" applyProtection="1">
      <alignment horizontal="center" vertical="center"/>
      <protection locked="0"/>
    </xf>
    <xf numFmtId="0" fontId="8" fillId="0" borderId="8" xfId="0" applyFont="1"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center"/>
    </xf>
    <xf numFmtId="0" fontId="8" fillId="0" borderId="2" xfId="0" quotePrefix="1" applyFont="1" applyBorder="1" applyAlignment="1">
      <alignment horizontal="center"/>
    </xf>
    <xf numFmtId="0" fontId="10" fillId="0" borderId="6" xfId="0" applyFont="1" applyBorder="1"/>
    <xf numFmtId="0" fontId="10" fillId="0" borderId="7" xfId="0" applyFont="1" applyBorder="1"/>
    <xf numFmtId="0" fontId="10" fillId="0" borderId="9" xfId="0" applyFont="1" applyBorder="1"/>
    <xf numFmtId="0" fontId="8" fillId="0" borderId="6" xfId="0" quotePrefix="1" applyFont="1" applyBorder="1" applyAlignment="1">
      <alignment horizontal="center"/>
    </xf>
    <xf numFmtId="0" fontId="8" fillId="0" borderId="1" xfId="0" quotePrefix="1" applyFont="1" applyBorder="1" applyAlignment="1">
      <alignment horizontal="center"/>
    </xf>
    <xf numFmtId="0" fontId="8" fillId="0" borderId="8" xfId="0" applyFont="1" applyBorder="1" applyAlignment="1" applyProtection="1">
      <alignment horizontal="center" vertical="center"/>
      <protection locked="0"/>
    </xf>
    <xf numFmtId="0" fontId="9" fillId="0" borderId="0" xfId="0" applyFont="1" applyAlignment="1">
      <alignment horizontal="right"/>
    </xf>
    <xf numFmtId="0" fontId="22" fillId="0" borderId="8" xfId="0" applyFont="1" applyBorder="1" applyAlignment="1">
      <alignment horizontal="left"/>
    </xf>
    <xf numFmtId="0" fontId="22" fillId="0" borderId="8" xfId="0" applyFont="1" applyBorder="1"/>
    <xf numFmtId="14" fontId="9" fillId="0" borderId="0" xfId="0" applyNumberFormat="1" applyFont="1" applyBorder="1" applyAlignment="1">
      <alignment horizontal="left"/>
    </xf>
    <xf numFmtId="0" fontId="9" fillId="0" borderId="0" xfId="0" applyFont="1" applyBorder="1" applyAlignment="1">
      <alignment horizontal="right"/>
    </xf>
    <xf numFmtId="0" fontId="8" fillId="2" borderId="8" xfId="0" applyFont="1" applyFill="1" applyBorder="1" applyAlignment="1">
      <alignment horizontal="center" vertical="center"/>
    </xf>
    <xf numFmtId="0" fontId="8" fillId="0" borderId="0" xfId="0" applyFont="1" applyFill="1" applyAlignment="1">
      <alignment horizontal="center"/>
    </xf>
    <xf numFmtId="0" fontId="9" fillId="0" borderId="0" xfId="0" applyFont="1" applyFill="1" applyAlignment="1">
      <alignment horizontal="center"/>
    </xf>
    <xf numFmtId="0" fontId="10" fillId="0" borderId="0" xfId="0" applyFont="1" applyFill="1" applyBorder="1" applyAlignment="1">
      <alignment horizontal="center"/>
    </xf>
    <xf numFmtId="0" fontId="10" fillId="0" borderId="8" xfId="0" applyFont="1" applyFill="1" applyBorder="1" applyAlignment="1">
      <alignment horizontal="center"/>
    </xf>
    <xf numFmtId="0" fontId="8" fillId="0" borderId="0" xfId="0" applyFont="1" applyFill="1" applyBorder="1" applyAlignment="1">
      <alignment horizontal="center"/>
    </xf>
    <xf numFmtId="14" fontId="9" fillId="0" borderId="0" xfId="0" applyNumberFormat="1" applyFont="1"/>
    <xf numFmtId="14" fontId="14" fillId="0" borderId="22" xfId="0" applyNumberFormat="1" applyFont="1" applyBorder="1"/>
    <xf numFmtId="14" fontId="2" fillId="0" borderId="11" xfId="2" applyNumberFormat="1" applyFont="1" applyBorder="1"/>
    <xf numFmtId="14" fontId="16" fillId="0" borderId="11" xfId="0" applyNumberFormat="1" applyFont="1" applyBorder="1" applyProtection="1"/>
    <xf numFmtId="4" fontId="10" fillId="0" borderId="19" xfId="0" applyNumberFormat="1" applyFont="1" applyBorder="1" applyAlignment="1">
      <alignment horizontal="center" vertical="center" wrapText="1"/>
    </xf>
    <xf numFmtId="4" fontId="8" fillId="0" borderId="0" xfId="0" applyNumberFormat="1" applyFont="1" applyBorder="1" applyAlignment="1">
      <alignment vertical="center"/>
    </xf>
    <xf numFmtId="0" fontId="25" fillId="0" borderId="0" xfId="0" applyFont="1" applyAlignment="1">
      <alignment vertical="center"/>
    </xf>
    <xf numFmtId="4" fontId="7" fillId="0" borderId="0" xfId="0" applyNumberFormat="1" applyFont="1" applyAlignment="1">
      <alignment vertical="center"/>
    </xf>
    <xf numFmtId="0" fontId="1" fillId="0" borderId="8" xfId="0" applyFont="1" applyBorder="1" applyAlignment="1">
      <alignment horizontal="center" vertical="center"/>
    </xf>
    <xf numFmtId="0" fontId="1" fillId="0" borderId="8" xfId="0" quotePrefix="1" applyFont="1" applyBorder="1" applyAlignment="1">
      <alignment horizontal="center" vertical="center"/>
    </xf>
    <xf numFmtId="0" fontId="7" fillId="0" borderId="8" xfId="0" applyFont="1" applyBorder="1" applyAlignment="1">
      <alignment horizontal="center" vertical="center"/>
    </xf>
    <xf numFmtId="0" fontId="7" fillId="11"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11" borderId="10" xfId="0" applyFont="1" applyFill="1" applyBorder="1" applyAlignment="1">
      <alignment horizontal="center" vertical="center"/>
    </xf>
    <xf numFmtId="0" fontId="7" fillId="10" borderId="10" xfId="0" applyFont="1" applyFill="1" applyBorder="1" applyAlignment="1">
      <alignment horizontal="center" vertical="center"/>
    </xf>
    <xf numFmtId="0" fontId="7" fillId="10" borderId="3"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21" xfId="0" applyFont="1" applyFill="1" applyBorder="1" applyAlignment="1">
      <alignment horizontal="center" vertical="center"/>
    </xf>
    <xf numFmtId="0" fontId="7" fillId="9" borderId="0" xfId="0" applyFont="1" applyFill="1" applyBorder="1" applyAlignment="1">
      <alignment horizontal="center" vertical="center"/>
    </xf>
    <xf numFmtId="0" fontId="7" fillId="9" borderId="3" xfId="0" applyFont="1" applyFill="1" applyBorder="1" applyAlignment="1">
      <alignment horizontal="center" vertical="center"/>
    </xf>
    <xf numFmtId="0" fontId="7" fillId="11" borderId="7" xfId="0" applyFont="1" applyFill="1" applyBorder="1" applyAlignment="1">
      <alignment horizontal="center" vertical="center"/>
    </xf>
    <xf numFmtId="0" fontId="7" fillId="11" borderId="3" xfId="0" applyFont="1" applyFill="1" applyBorder="1" applyAlignment="1">
      <alignment horizontal="center" vertical="center"/>
    </xf>
    <xf numFmtId="0" fontId="7" fillId="10" borderId="9" xfId="0" applyFont="1" applyFill="1" applyBorder="1" applyAlignment="1">
      <alignment horizontal="center" vertical="center"/>
    </xf>
    <xf numFmtId="0" fontId="7" fillId="11" borderId="11" xfId="0" applyFont="1" applyFill="1" applyBorder="1" applyAlignment="1">
      <alignment horizontal="center" vertical="center"/>
    </xf>
    <xf numFmtId="0" fontId="7" fillId="9" borderId="5"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17" xfId="0" applyFont="1" applyFill="1" applyBorder="1" applyAlignment="1">
      <alignment horizontal="center" vertical="center"/>
    </xf>
    <xf numFmtId="0" fontId="7" fillId="11" borderId="5" xfId="0" applyFont="1" applyFill="1" applyBorder="1" applyAlignment="1">
      <alignment horizontal="center" vertical="center"/>
    </xf>
    <xf numFmtId="0" fontId="7" fillId="9" borderId="17" xfId="0" applyFont="1" applyFill="1" applyBorder="1" applyAlignment="1">
      <alignment horizontal="center" vertical="center"/>
    </xf>
    <xf numFmtId="0" fontId="7" fillId="9" borderId="7" xfId="0" applyFont="1" applyFill="1" applyBorder="1" applyAlignment="1">
      <alignment horizontal="center" vertical="center"/>
    </xf>
    <xf numFmtId="14" fontId="14" fillId="0" borderId="8" xfId="0" applyNumberFormat="1" applyFont="1" applyBorder="1"/>
    <xf numFmtId="14" fontId="2" fillId="0" borderId="8" xfId="2" applyNumberFormat="1" applyFont="1" applyBorder="1" applyAlignment="1">
      <alignment horizontal="center"/>
    </xf>
    <xf numFmtId="0" fontId="5" fillId="0" borderId="8" xfId="2" applyFont="1" applyBorder="1" applyAlignment="1">
      <alignment horizontal="center" vertical="center" wrapText="1"/>
    </xf>
    <xf numFmtId="0" fontId="2" fillId="0" borderId="21" xfId="2" applyFont="1" applyBorder="1" applyAlignment="1">
      <alignment horizontal="left" vertical="center" wrapText="1"/>
    </xf>
    <xf numFmtId="14" fontId="2" fillId="0" borderId="26" xfId="2" applyNumberFormat="1" applyFont="1" applyBorder="1" applyAlignment="1">
      <alignment horizontal="center" vertical="center" wrapText="1"/>
    </xf>
    <xf numFmtId="0" fontId="2" fillId="0" borderId="0" xfId="2" applyBorder="1" applyAlignment="1" applyProtection="1">
      <alignment horizontal="center"/>
    </xf>
    <xf numFmtId="0" fontId="2" fillId="0" borderId="9" xfId="2" quotePrefix="1" applyFont="1" applyBorder="1" applyAlignment="1">
      <alignment horizontal="center"/>
    </xf>
    <xf numFmtId="0" fontId="7" fillId="0" borderId="8" xfId="0" quotePrefix="1" applyFont="1" applyBorder="1" applyAlignment="1">
      <alignment horizontal="center" vertical="center"/>
    </xf>
    <xf numFmtId="0" fontId="10" fillId="0" borderId="0" xfId="0" applyFont="1" applyAlignment="1">
      <alignment horizontal="right"/>
    </xf>
    <xf numFmtId="0" fontId="27" fillId="15" borderId="8" xfId="2" applyFont="1" applyFill="1" applyBorder="1" applyAlignment="1">
      <alignment horizontal="center" vertical="center"/>
    </xf>
    <xf numFmtId="0" fontId="29" fillId="16" borderId="0" xfId="0" applyFont="1" applyFill="1"/>
    <xf numFmtId="0" fontId="29" fillId="16" borderId="8" xfId="0" applyFont="1" applyFill="1" applyBorder="1" applyAlignment="1">
      <alignment horizontal="center" vertical="center"/>
    </xf>
    <xf numFmtId="0" fontId="29" fillId="16" borderId="21" xfId="0" applyFont="1" applyFill="1" applyBorder="1" applyAlignment="1">
      <alignment vertical="center"/>
    </xf>
    <xf numFmtId="0" fontId="29" fillId="16" borderId="12" xfId="0" applyFont="1" applyFill="1" applyBorder="1" applyAlignment="1">
      <alignment vertical="center"/>
    </xf>
    <xf numFmtId="0" fontId="29" fillId="16" borderId="4" xfId="0" applyFont="1" applyFill="1" applyBorder="1" applyAlignment="1">
      <alignment vertical="center"/>
    </xf>
    <xf numFmtId="0" fontId="22" fillId="0" borderId="0" xfId="0" applyFont="1" applyAlignment="1">
      <alignment horizontal="left" vertical="top" wrapText="1"/>
    </xf>
    <xf numFmtId="0" fontId="3" fillId="7" borderId="27" xfId="3" applyFill="1" applyBorder="1" applyAlignment="1">
      <alignment horizontal="center" vertical="top" wrapText="1"/>
    </xf>
    <xf numFmtId="0" fontId="3" fillId="7" borderId="28" xfId="3" applyFill="1" applyBorder="1" applyAlignment="1">
      <alignment horizontal="center" vertical="top" wrapText="1"/>
    </xf>
    <xf numFmtId="0" fontId="3" fillId="7" borderId="29" xfId="3" applyFill="1" applyBorder="1" applyAlignment="1">
      <alignment horizontal="center" vertical="top" wrapText="1"/>
    </xf>
    <xf numFmtId="0" fontId="3" fillId="7" borderId="30" xfId="3" applyFill="1" applyBorder="1" applyAlignment="1">
      <alignment horizontal="center" vertical="top" wrapText="1"/>
    </xf>
    <xf numFmtId="0" fontId="3" fillId="7" borderId="0" xfId="3" applyFill="1" applyBorder="1" applyAlignment="1">
      <alignment horizontal="center" vertical="top" wrapText="1"/>
    </xf>
    <xf numFmtId="0" fontId="3" fillId="7" borderId="31" xfId="3" applyFill="1" applyBorder="1" applyAlignment="1">
      <alignment horizontal="center" vertical="top" wrapText="1"/>
    </xf>
    <xf numFmtId="0" fontId="3" fillId="7" borderId="32" xfId="3" applyFill="1" applyBorder="1" applyAlignment="1">
      <alignment horizontal="center" vertical="top" wrapText="1"/>
    </xf>
    <xf numFmtId="0" fontId="3" fillId="7" borderId="33" xfId="3" applyFill="1" applyBorder="1" applyAlignment="1">
      <alignment horizontal="center" vertical="top" wrapText="1"/>
    </xf>
    <xf numFmtId="0" fontId="3" fillId="7" borderId="34" xfId="3" applyFill="1" applyBorder="1" applyAlignment="1">
      <alignment horizontal="center" vertical="top" wrapText="1"/>
    </xf>
    <xf numFmtId="0" fontId="20" fillId="0" borderId="22"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6" fillId="6" borderId="3" xfId="2" applyFont="1" applyFill="1" applyBorder="1" applyAlignment="1">
      <alignment horizontal="center" vertical="center" wrapText="1"/>
    </xf>
    <xf numFmtId="0" fontId="6" fillId="6" borderId="3" xfId="2" applyFont="1" applyFill="1" applyBorder="1" applyAlignment="1">
      <alignment horizontal="center" vertical="center"/>
    </xf>
    <xf numFmtId="0" fontId="6" fillId="6" borderId="2" xfId="2" applyFont="1" applyFill="1" applyBorder="1" applyAlignment="1">
      <alignment horizontal="center" vertical="center"/>
    </xf>
    <xf numFmtId="0" fontId="6" fillId="6" borderId="12" xfId="2" applyFont="1" applyFill="1" applyBorder="1" applyAlignment="1">
      <alignment horizontal="right" vertical="center"/>
    </xf>
    <xf numFmtId="0" fontId="29" fillId="16" borderId="21" xfId="0" applyFont="1" applyFill="1" applyBorder="1" applyAlignment="1">
      <alignment vertical="center"/>
    </xf>
    <xf numFmtId="0" fontId="29" fillId="16" borderId="12" xfId="0" applyFont="1" applyFill="1" applyBorder="1" applyAlignment="1">
      <alignment vertical="center"/>
    </xf>
    <xf numFmtId="0" fontId="29" fillId="16" borderId="4" xfId="0" applyFont="1" applyFill="1" applyBorder="1" applyAlignment="1">
      <alignment vertical="center"/>
    </xf>
    <xf numFmtId="0" fontId="26" fillId="15" borderId="21" xfId="2" applyFont="1" applyFill="1" applyBorder="1" applyAlignment="1">
      <alignment horizontal="center" vertical="center"/>
    </xf>
    <xf numFmtId="0" fontId="26" fillId="15" borderId="12" xfId="2" applyFont="1" applyFill="1" applyBorder="1" applyAlignment="1">
      <alignment horizontal="center" vertical="center"/>
    </xf>
    <xf numFmtId="0" fontId="26" fillId="15" borderId="4" xfId="2" applyFont="1" applyFill="1" applyBorder="1" applyAlignment="1">
      <alignment horizontal="center" vertical="center"/>
    </xf>
    <xf numFmtId="0" fontId="28" fillId="15" borderId="8" xfId="0" applyFont="1" applyFill="1" applyBorder="1" applyAlignment="1">
      <alignment horizontal="center" vertical="center"/>
    </xf>
    <xf numFmtId="0" fontId="10" fillId="2" borderId="2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4" xfId="0" applyFont="1" applyFill="1" applyBorder="1" applyAlignment="1">
      <alignment horizontal="left" vertical="center"/>
    </xf>
    <xf numFmtId="0" fontId="8" fillId="0" borderId="0" xfId="0" applyFont="1" applyBorder="1" applyAlignment="1"/>
  </cellXfs>
  <cellStyles count="4">
    <cellStyle name="Normal" xfId="0" builtinId="0"/>
    <cellStyle name="Normal 2" xfId="1" xr:uid="{00000000-0005-0000-0000-000001000000}"/>
    <cellStyle name="Normal_P241 cortec" xfId="2" xr:uid="{00000000-0005-0000-0000-000002000000}"/>
    <cellStyle name="Normal_Template"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List" dx="16" fmlaLink="Language!$A$3" fmlaRange="Language!$B$4:$B$6" noThreeD="1" sel="1" val="0"/>
</file>

<file path=xl/ctrlProps/ctrlProp10.xml><?xml version="1.0" encoding="utf-8"?>
<formControlPr xmlns="http://schemas.microsoft.com/office/spreadsheetml/2009/9/main" objectType="List" dx="16" fmlaLink="Database!$D$48" fmlaRange="Database!$E$49:$E$52" noThreeD="1" sel="1" val="0"/>
</file>

<file path=xl/ctrlProps/ctrlProp11.xml><?xml version="1.0" encoding="utf-8"?>
<formControlPr xmlns="http://schemas.microsoft.com/office/spreadsheetml/2009/9/main" objectType="List" dx="16" fmlaLink="Database!$D$56" fmlaRange="Database!$E$57:$E$58" noThreeD="1" sel="1" val="0"/>
</file>

<file path=xl/ctrlProps/ctrlProp12.xml><?xml version="1.0" encoding="utf-8"?>
<formControlPr xmlns="http://schemas.microsoft.com/office/spreadsheetml/2009/9/main" objectType="List" dx="16" fmlaLink="Database!$D$40" fmlaRange="Database!$E$41" noThreeD="1" sel="1" val="0"/>
</file>

<file path=xl/ctrlProps/ctrlProp13.xml><?xml version="1.0" encoding="utf-8"?>
<formControlPr xmlns="http://schemas.microsoft.com/office/spreadsheetml/2009/9/main" objectType="List" dx="16" fmlaLink="Database!$D$44" fmlaRange="Database!$E$45:$E$46" noThreeD="1" sel="1" val="0"/>
</file>

<file path=xl/ctrlProps/ctrlProp2.xml><?xml version="1.0" encoding="utf-8"?>
<formControlPr xmlns="http://schemas.microsoft.com/office/spreadsheetml/2009/9/main" objectType="List" dx="16" fmlaLink="Database!$D$5" fmlaRange="Database!$E$6:$E$7" noThreeD="1" sel="2" val="0"/>
</file>

<file path=xl/ctrlProps/ctrlProp3.xml><?xml version="1.0" encoding="utf-8"?>
<formControlPr xmlns="http://schemas.microsoft.com/office/spreadsheetml/2009/9/main" objectType="List" dx="16" fmlaLink="Database!$D$9" fmlaRange="Database!$E$10:$E$12" noThreeD="1" sel="3" val="0"/>
</file>

<file path=xl/ctrlProps/ctrlProp4.xml><?xml version="1.0" encoding="utf-8"?>
<formControlPr xmlns="http://schemas.microsoft.com/office/spreadsheetml/2009/9/main" objectType="List" dx="16" fmlaLink="Database!$D$14" fmlaRange="Database!$E$15:$E$17" noThreeD="1" sel="3" val="0"/>
</file>

<file path=xl/ctrlProps/ctrlProp5.xml><?xml version="1.0" encoding="utf-8"?>
<formControlPr xmlns="http://schemas.microsoft.com/office/spreadsheetml/2009/9/main" objectType="List" dx="16" fmlaLink="Database!$M$19" fmlaRange="Database!$J$20:$L$22" noThreeD="1" sel="2" val="0"/>
</file>

<file path=xl/ctrlProps/ctrlProp6.xml><?xml version="1.0" encoding="utf-8"?>
<formControlPr xmlns="http://schemas.microsoft.com/office/spreadsheetml/2009/9/main" objectType="List" dx="16" fmlaLink="Database!$D$24" fmlaRange="Database!$E$25:$E$26" noThreeD="1" sel="1" val="0"/>
</file>

<file path=xl/ctrlProps/ctrlProp7.xml><?xml version="1.0" encoding="utf-8"?>
<formControlPr xmlns="http://schemas.microsoft.com/office/spreadsheetml/2009/9/main" objectType="List" dx="16" fmlaLink="Database!$D$32" fmlaRange="Database!$E$33" noThreeD="1" sel="1" val="0"/>
</file>

<file path=xl/ctrlProps/ctrlProp8.xml><?xml version="1.0" encoding="utf-8"?>
<formControlPr xmlns="http://schemas.microsoft.com/office/spreadsheetml/2009/9/main" objectType="List" dx="16" fmlaLink="Database!$D$28" fmlaRange="Database!$E$29" noThreeD="1" sel="1" val="0"/>
</file>

<file path=xl/ctrlProps/ctrlProp9.xml><?xml version="1.0" encoding="utf-8"?>
<formControlPr xmlns="http://schemas.microsoft.com/office/spreadsheetml/2009/9/main" objectType="List" dx="16" fmlaLink="Database!$D$36" fmlaRange="Database!$E$37"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50800</xdr:rowOff>
        </xdr:from>
        <xdr:to>
          <xdr:col>3</xdr:col>
          <xdr:colOff>755650</xdr:colOff>
          <xdr:row>15</xdr:row>
          <xdr:rowOff>0</xdr:rowOff>
        </xdr:to>
        <xdr:sp macro="" textlink="">
          <xdr:nvSpPr>
            <xdr:cNvPr id="5121" name="List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6</xdr:col>
          <xdr:colOff>0</xdr:colOff>
          <xdr:row>4</xdr:row>
          <xdr:rowOff>323850</xdr:rowOff>
        </xdr:to>
        <xdr:sp macro="" textlink="">
          <xdr:nvSpPr>
            <xdr:cNvPr id="8194" name="List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6</xdr:col>
          <xdr:colOff>0</xdr:colOff>
          <xdr:row>7</xdr:row>
          <xdr:rowOff>0</xdr:rowOff>
        </xdr:to>
        <xdr:sp macro="" textlink="">
          <xdr:nvSpPr>
            <xdr:cNvPr id="8197" name="List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6</xdr:col>
          <xdr:colOff>0</xdr:colOff>
          <xdr:row>9</xdr:row>
          <xdr:rowOff>0</xdr:rowOff>
        </xdr:to>
        <xdr:sp macro="" textlink="">
          <xdr:nvSpPr>
            <xdr:cNvPr id="8199" name="List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6</xdr:col>
          <xdr:colOff>0</xdr:colOff>
          <xdr:row>11</xdr:row>
          <xdr:rowOff>0</xdr:rowOff>
        </xdr:to>
        <xdr:sp macro="" textlink="">
          <xdr:nvSpPr>
            <xdr:cNvPr id="8205" name="List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6</xdr:col>
          <xdr:colOff>0</xdr:colOff>
          <xdr:row>13</xdr:row>
          <xdr:rowOff>0</xdr:rowOff>
        </xdr:to>
        <xdr:sp macro="" textlink="">
          <xdr:nvSpPr>
            <xdr:cNvPr id="8207" name="List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6</xdr:col>
          <xdr:colOff>0</xdr:colOff>
          <xdr:row>16</xdr:row>
          <xdr:rowOff>298450</xdr:rowOff>
        </xdr:to>
        <xdr:sp macro="" textlink="">
          <xdr:nvSpPr>
            <xdr:cNvPr id="8234" name="List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6</xdr:col>
          <xdr:colOff>0</xdr:colOff>
          <xdr:row>14</xdr:row>
          <xdr:rowOff>298450</xdr:rowOff>
        </xdr:to>
        <xdr:sp macro="" textlink="">
          <xdr:nvSpPr>
            <xdr:cNvPr id="8235" name="List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6</xdr:col>
          <xdr:colOff>0</xdr:colOff>
          <xdr:row>18</xdr:row>
          <xdr:rowOff>298450</xdr:rowOff>
        </xdr:to>
        <xdr:sp macro="" textlink="">
          <xdr:nvSpPr>
            <xdr:cNvPr id="8237" name="List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6</xdr:col>
          <xdr:colOff>0</xdr:colOff>
          <xdr:row>24</xdr:row>
          <xdr:rowOff>622300</xdr:rowOff>
        </xdr:to>
        <xdr:sp macro="" textlink="">
          <xdr:nvSpPr>
            <xdr:cNvPr id="8239" name="List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6</xdr:col>
          <xdr:colOff>0</xdr:colOff>
          <xdr:row>27</xdr:row>
          <xdr:rowOff>0</xdr:rowOff>
        </xdr:to>
        <xdr:sp macro="" textlink="">
          <xdr:nvSpPr>
            <xdr:cNvPr id="8241" name="List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6</xdr:col>
          <xdr:colOff>0</xdr:colOff>
          <xdr:row>20</xdr:row>
          <xdr:rowOff>304800</xdr:rowOff>
        </xdr:to>
        <xdr:sp macro="" textlink="">
          <xdr:nvSpPr>
            <xdr:cNvPr id="8242" name="List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6</xdr:col>
          <xdr:colOff>0</xdr:colOff>
          <xdr:row>22</xdr:row>
          <xdr:rowOff>304800</xdr:rowOff>
        </xdr:to>
        <xdr:sp macro="" textlink="">
          <xdr:nvSpPr>
            <xdr:cNvPr id="8243" name="List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1">
    <pageSetUpPr fitToPage="1"/>
  </sheetPr>
  <dimension ref="B2:J15"/>
  <sheetViews>
    <sheetView showGridLines="0" showRowColHeaders="0" tabSelected="1" workbookViewId="0">
      <selection activeCell="C27" sqref="C27"/>
    </sheetView>
  </sheetViews>
  <sheetFormatPr defaultColWidth="10.26953125" defaultRowHeight="14" x14ac:dyDescent="0.3"/>
  <cols>
    <col min="1" max="1" width="4.1796875" style="1" customWidth="1"/>
    <col min="2" max="9" width="11.453125" style="1" customWidth="1"/>
    <col min="10" max="10" width="45.54296875" style="1" customWidth="1"/>
    <col min="11" max="16384" width="10.26953125" style="1"/>
  </cols>
  <sheetData>
    <row r="2" spans="2:10" ht="14.5" thickBot="1" x14ac:dyDescent="0.35"/>
    <row r="3" spans="2:10" ht="15" customHeight="1" thickTop="1" x14ac:dyDescent="0.3">
      <c r="B3" s="244" t="str">
        <f>HLOOKUP(Language!$C$3,Language!$E$1:$Z560,48,FALSE)</f>
        <v xml:space="preserve">Our policy is one of continuous development. Accordingly the design of our products may change at any time. </v>
      </c>
      <c r="C3" s="245"/>
      <c r="D3" s="245"/>
      <c r="E3" s="245"/>
      <c r="F3" s="245"/>
      <c r="G3" s="245"/>
      <c r="H3" s="245"/>
      <c r="I3" s="245"/>
      <c r="J3" s="246"/>
    </row>
    <row r="4" spans="2:10" ht="14.25" customHeight="1" x14ac:dyDescent="0.3">
      <c r="B4" s="247" t="str">
        <f>HLOOKUP(Language!$C$3,Language!$E$1:$Z560,49,FALSE)</f>
        <v>Whilst every effort is made to produce up to date literature, this document should only be regarded as a guide and is intended for information purposes only.</v>
      </c>
      <c r="C4" s="248"/>
      <c r="D4" s="248"/>
      <c r="E4" s="248"/>
      <c r="F4" s="248"/>
      <c r="G4" s="248"/>
      <c r="H4" s="248"/>
      <c r="I4" s="248"/>
      <c r="J4" s="249"/>
    </row>
    <row r="5" spans="2:10" x14ac:dyDescent="0.3">
      <c r="B5" s="247"/>
      <c r="C5" s="248"/>
      <c r="D5" s="248"/>
      <c r="E5" s="248"/>
      <c r="F5" s="248"/>
      <c r="G5" s="248"/>
      <c r="H5" s="248"/>
      <c r="I5" s="248"/>
      <c r="J5" s="249"/>
    </row>
    <row r="6" spans="2:10" ht="14.25" customHeight="1" x14ac:dyDescent="0.3">
      <c r="B6" s="247" t="str">
        <f>HLOOKUP(Language!$C$3,Language!$E$1:$Z560,50,FALSE)</f>
        <v>Its contents do not constitute an offer for sale or advice on the application of any product referred to in it. We cannot be held responsible for any reliance on any decisions taken on its contents without specific advice.</v>
      </c>
      <c r="C6" s="248"/>
      <c r="D6" s="248"/>
      <c r="E6" s="248"/>
      <c r="F6" s="248"/>
      <c r="G6" s="248"/>
      <c r="H6" s="248"/>
      <c r="I6" s="248"/>
      <c r="J6" s="249"/>
    </row>
    <row r="7" spans="2:10" x14ac:dyDescent="0.3">
      <c r="B7" s="247"/>
      <c r="C7" s="248"/>
      <c r="D7" s="248"/>
      <c r="E7" s="248"/>
      <c r="F7" s="248"/>
      <c r="G7" s="248"/>
      <c r="H7" s="248"/>
      <c r="I7" s="248"/>
      <c r="J7" s="249"/>
    </row>
    <row r="8" spans="2:10" ht="3.75" customHeight="1" thickBot="1" x14ac:dyDescent="0.35">
      <c r="B8" s="250"/>
      <c r="C8" s="251"/>
      <c r="D8" s="251"/>
      <c r="E8" s="251"/>
      <c r="F8" s="251"/>
      <c r="G8" s="251"/>
      <c r="H8" s="251"/>
      <c r="I8" s="251"/>
      <c r="J8" s="252"/>
    </row>
    <row r="9" spans="2:10" ht="14.5" thickTop="1" x14ac:dyDescent="0.3"/>
    <row r="10" spans="2:10" ht="14.5" thickBot="1" x14ac:dyDescent="0.35"/>
    <row r="11" spans="2:10" ht="15.5" x14ac:dyDescent="0.3">
      <c r="B11" s="253" t="str">
        <f>HLOOKUP(Language!$C$3,Language!$E$1:$Z560,47,FALSE)</f>
        <v>Language Selection</v>
      </c>
      <c r="C11" s="254"/>
      <c r="D11" s="255"/>
    </row>
    <row r="12" spans="2:10" x14ac:dyDescent="0.3">
      <c r="B12" s="120"/>
      <c r="C12" s="121"/>
      <c r="D12" s="122"/>
    </row>
    <row r="13" spans="2:10" x14ac:dyDescent="0.3">
      <c r="B13" s="120"/>
      <c r="C13" s="121"/>
      <c r="D13" s="122"/>
    </row>
    <row r="14" spans="2:10" x14ac:dyDescent="0.3">
      <c r="B14" s="120"/>
      <c r="C14" s="121"/>
      <c r="D14" s="122"/>
    </row>
    <row r="15" spans="2:10" ht="14.5" thickBot="1" x14ac:dyDescent="0.35">
      <c r="B15" s="123"/>
      <c r="C15" s="124"/>
      <c r="D15" s="125"/>
    </row>
  </sheetData>
  <sheetProtection algorithmName="SHA-512" hashValue="AASK4gPE/5ksrE15qAiYOQL1BDAD4qarLEQii+r11rNxhgEGzpOmf306DA7xp4xK+B84xVFQ1WERP2yUTeK9TQ==" saltValue="oNfatYo1trXM3E02uPrnag==" spinCount="100000" sheet="1" objects="1" scenarios="1"/>
  <mergeCells count="4">
    <mergeCell ref="B3:J3"/>
    <mergeCell ref="B4:J5"/>
    <mergeCell ref="B6:J8"/>
    <mergeCell ref="B11:D11"/>
  </mergeCells>
  <phoneticPr fontId="19" type="noConversion"/>
  <pageMargins left="0.75" right="0.75" top="1" bottom="1" header="0.5" footer="0.5"/>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List Box 1">
              <controlPr defaultSize="0" autoLine="0" autoPict="0">
                <anchor moveWithCells="1">
                  <from>
                    <xdr:col>1</xdr:col>
                    <xdr:colOff>0</xdr:colOff>
                    <xdr:row>11</xdr:row>
                    <xdr:rowOff>50800</xdr:rowOff>
                  </from>
                  <to>
                    <xdr:col>3</xdr:col>
                    <xdr:colOff>755650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X61"/>
  <sheetViews>
    <sheetView showGridLines="0" workbookViewId="0">
      <selection activeCell="V51" sqref="V51"/>
    </sheetView>
  </sheetViews>
  <sheetFormatPr defaultColWidth="9.1796875" defaultRowHeight="12.5" x14ac:dyDescent="0.25"/>
  <cols>
    <col min="1" max="1" width="5.26953125" style="39" customWidth="1"/>
    <col min="2" max="2" width="8.54296875" style="39" customWidth="1"/>
    <col min="3" max="3" width="19" style="39" customWidth="1"/>
    <col min="4" max="4" width="46" style="39" customWidth="1"/>
    <col min="5" max="5" width="12.7265625" style="66" customWidth="1"/>
    <col min="6" max="12" width="2.7265625" style="66" customWidth="1"/>
    <col min="13" max="13" width="4.7265625" style="66" customWidth="1"/>
    <col min="14" max="14" width="2.7265625" style="66" customWidth="1"/>
    <col min="15" max="15" width="1.7265625" style="66" customWidth="1"/>
    <col min="16" max="18" width="2.7265625" style="66" customWidth="1"/>
    <col min="19" max="16384" width="9.1796875" style="39"/>
  </cols>
  <sheetData>
    <row r="1" spans="1:258" x14ac:dyDescent="0.25">
      <c r="A1" s="32" t="str">
        <f>HLOOKUP(Language!$C$3,Language!$E$1:$Z565,51,FALSE)</f>
        <v>Information required with Order:</v>
      </c>
      <c r="B1" s="32"/>
      <c r="C1" s="32"/>
      <c r="D1" s="32"/>
      <c r="E1" s="38"/>
      <c r="F1" s="38"/>
      <c r="G1" s="38"/>
      <c r="H1" s="38"/>
      <c r="I1" s="38"/>
      <c r="J1" s="38"/>
      <c r="K1" s="38"/>
      <c r="L1" s="38"/>
      <c r="M1" s="38"/>
      <c r="N1" s="38"/>
      <c r="O1" s="38"/>
      <c r="P1" s="38"/>
      <c r="Q1" s="38"/>
      <c r="R1" s="38"/>
    </row>
    <row r="2" spans="1:258" x14ac:dyDescent="0.25">
      <c r="A2" s="32"/>
      <c r="B2" s="32"/>
      <c r="C2" s="32"/>
      <c r="D2" s="32"/>
      <c r="E2" s="38"/>
      <c r="F2" s="38"/>
      <c r="G2" s="38"/>
      <c r="H2" s="38"/>
      <c r="I2" s="38"/>
      <c r="J2" s="38"/>
      <c r="K2" s="38"/>
      <c r="L2" s="38"/>
      <c r="M2" s="38"/>
      <c r="N2" s="38"/>
      <c r="O2" s="38"/>
      <c r="P2" s="38"/>
      <c r="Q2" s="38"/>
      <c r="R2" s="38"/>
      <c r="S2" s="32"/>
    </row>
    <row r="3" spans="1:258" x14ac:dyDescent="0.25">
      <c r="A3" s="81" t="str">
        <f>HLOOKUP(Language!$C$3,Language!$E$1:$Z565,52,FALSE)</f>
        <v>Variants</v>
      </c>
      <c r="B3" s="126"/>
      <c r="C3" s="259" t="str">
        <f>HLOOKUP(Language!$C$3,Language!$E$1:$Z565,53,FALSE)</f>
        <v>IED Order Number</v>
      </c>
      <c r="D3" s="259"/>
      <c r="E3" s="259"/>
      <c r="F3" s="259"/>
      <c r="G3" s="259"/>
      <c r="H3" s="259"/>
      <c r="I3" s="259"/>
      <c r="J3" s="259"/>
      <c r="K3" s="126"/>
      <c r="L3" s="127"/>
      <c r="M3" s="127"/>
      <c r="N3" s="127"/>
      <c r="O3" s="82"/>
      <c r="P3" s="256" t="str">
        <f>HLOOKUP(Language!$C$3,Language!$E$1:$Z494,54,FALSE)</f>
        <v>Optional</v>
      </c>
      <c r="Q3" s="257"/>
      <c r="R3" s="258"/>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row>
    <row r="4" spans="1:258" x14ac:dyDescent="0.25">
      <c r="A4" s="40"/>
      <c r="B4" s="41"/>
      <c r="C4" s="41"/>
      <c r="D4" s="42"/>
      <c r="E4" s="43" t="s">
        <v>7</v>
      </c>
      <c r="F4" s="44">
        <v>6</v>
      </c>
      <c r="G4" s="45">
        <v>7</v>
      </c>
      <c r="H4" s="43">
        <v>8</v>
      </c>
      <c r="I4" s="43">
        <v>9</v>
      </c>
      <c r="J4" s="43">
        <v>10</v>
      </c>
      <c r="K4" s="43" t="s">
        <v>211</v>
      </c>
      <c r="L4" s="234" t="s">
        <v>212</v>
      </c>
      <c r="M4" s="234" t="s">
        <v>213</v>
      </c>
      <c r="N4" s="160">
        <v>15</v>
      </c>
      <c r="O4" s="84"/>
      <c r="P4" s="160">
        <v>16</v>
      </c>
      <c r="Q4" s="160">
        <v>17</v>
      </c>
      <c r="R4" s="160">
        <v>18</v>
      </c>
    </row>
    <row r="5" spans="1:258" ht="13" x14ac:dyDescent="0.3">
      <c r="A5" s="46" t="str">
        <f>'Date Drivers'!B4</f>
        <v>Model Type</v>
      </c>
      <c r="B5" s="128"/>
      <c r="C5" s="32"/>
      <c r="D5" s="32"/>
      <c r="E5" s="47"/>
      <c r="F5" s="48"/>
      <c r="G5" s="49"/>
      <c r="H5" s="47"/>
      <c r="I5" s="50"/>
      <c r="J5" s="51"/>
      <c r="K5" s="52"/>
      <c r="L5" s="50"/>
      <c r="M5" s="51"/>
      <c r="N5" s="52"/>
      <c r="O5" s="85"/>
      <c r="P5" s="52"/>
      <c r="Q5" s="50"/>
      <c r="R5" s="86"/>
      <c r="S5" s="32"/>
    </row>
    <row r="6" spans="1:258" x14ac:dyDescent="0.25">
      <c r="A6" s="198" t="str">
        <f ca="1">Database!E2</f>
        <v>RT434 GNSS Precision-Time Clock</v>
      </c>
      <c r="B6" s="54"/>
      <c r="C6" s="54"/>
      <c r="D6" s="54"/>
      <c r="E6" s="229" t="str">
        <f ca="1">Database!E3</f>
        <v>RT434</v>
      </c>
      <c r="F6" s="48"/>
      <c r="G6" s="49"/>
      <c r="H6" s="47"/>
      <c r="I6" s="50"/>
      <c r="J6" s="51"/>
      <c r="K6" s="52"/>
      <c r="L6" s="50"/>
      <c r="M6" s="51"/>
      <c r="N6" s="52"/>
      <c r="O6" s="85"/>
      <c r="P6" s="52"/>
      <c r="Q6" s="50"/>
      <c r="R6" s="86"/>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c r="IW6" s="55"/>
      <c r="IX6" s="55"/>
    </row>
    <row r="7" spans="1:258" x14ac:dyDescent="0.25">
      <c r="A7" s="56"/>
      <c r="B7" s="57"/>
      <c r="C7" s="57"/>
      <c r="D7" s="57"/>
      <c r="E7" s="58"/>
      <c r="F7" s="48"/>
      <c r="G7" s="49"/>
      <c r="H7" s="47"/>
      <c r="I7" s="50"/>
      <c r="J7" s="51"/>
      <c r="K7" s="52"/>
      <c r="L7" s="50"/>
      <c r="M7" s="51"/>
      <c r="N7" s="52"/>
      <c r="O7" s="85"/>
      <c r="P7" s="52"/>
      <c r="Q7" s="50"/>
      <c r="R7" s="86"/>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c r="IV7" s="55"/>
      <c r="IW7" s="55"/>
      <c r="IX7" s="55"/>
    </row>
    <row r="8" spans="1:258" ht="13" x14ac:dyDescent="0.3">
      <c r="A8" s="46" t="str">
        <f ca="1">INDEX(Database!B:B,MATCH(1,Database!A:A))</f>
        <v>Power Supply 1</v>
      </c>
      <c r="B8" s="128"/>
      <c r="C8" s="54"/>
      <c r="D8" s="54"/>
      <c r="E8" s="59"/>
      <c r="F8" s="48"/>
      <c r="G8" s="49"/>
      <c r="H8" s="47"/>
      <c r="I8" s="50"/>
      <c r="J8" s="51"/>
      <c r="K8" s="52"/>
      <c r="L8" s="50"/>
      <c r="M8" s="51"/>
      <c r="N8" s="52"/>
      <c r="O8" s="85"/>
      <c r="P8" s="52"/>
      <c r="Q8" s="50"/>
      <c r="R8" s="86"/>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c r="IR8" s="55"/>
      <c r="IS8" s="55"/>
      <c r="IT8" s="55"/>
      <c r="IU8" s="55"/>
      <c r="IV8" s="55"/>
      <c r="IW8" s="55"/>
      <c r="IX8" s="55"/>
    </row>
    <row r="9" spans="1:258" x14ac:dyDescent="0.25">
      <c r="A9" s="53" t="str">
        <f ca="1">INDEX(Database!E:E,MATCH(1,Database!A:A)+ROW()-ROW($A$8))</f>
        <v>24-48 Vdc</v>
      </c>
      <c r="B9" s="54"/>
      <c r="C9" s="54"/>
      <c r="D9" s="54"/>
      <c r="E9" s="59"/>
      <c r="F9" s="60">
        <f ca="1">INDEX(Database!$F:$F,MATCH(1,Database!$A:$A)+ROW()-ROW($A$8))</f>
        <v>1</v>
      </c>
      <c r="G9" s="49"/>
      <c r="H9" s="47"/>
      <c r="I9" s="50"/>
      <c r="J9" s="51"/>
      <c r="K9" s="52"/>
      <c r="L9" s="50"/>
      <c r="M9" s="51"/>
      <c r="N9" s="52"/>
      <c r="O9" s="85"/>
      <c r="P9" s="52"/>
      <c r="Q9" s="50"/>
      <c r="R9" s="86"/>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c r="IV9" s="55"/>
      <c r="IW9" s="55"/>
      <c r="IX9" s="55"/>
    </row>
    <row r="10" spans="1:258" x14ac:dyDescent="0.25">
      <c r="A10" s="53" t="str">
        <f ca="1">INDEX(Database!E:E,MATCH(1,Database!A:A)+ROW()-ROW($A$8))</f>
        <v>100-250 Vdc / 110-240 Vac</v>
      </c>
      <c r="B10" s="54"/>
      <c r="C10" s="54"/>
      <c r="D10" s="54"/>
      <c r="E10" s="59"/>
      <c r="F10" s="60">
        <f ca="1">INDEX(Database!$F:$F,MATCH(1,Database!$A:$A)+ROW()-ROW($A$8))</f>
        <v>3</v>
      </c>
      <c r="G10" s="49"/>
      <c r="H10" s="47"/>
      <c r="I10" s="50"/>
      <c r="J10" s="51"/>
      <c r="K10" s="52"/>
      <c r="L10" s="50"/>
      <c r="M10" s="51"/>
      <c r="N10" s="52"/>
      <c r="O10" s="85"/>
      <c r="P10" s="52"/>
      <c r="Q10" s="50"/>
      <c r="R10" s="86"/>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c r="IR10" s="55"/>
      <c r="IS10" s="55"/>
      <c r="IT10" s="55"/>
      <c r="IU10" s="55"/>
      <c r="IV10" s="55"/>
      <c r="IW10" s="55"/>
      <c r="IX10" s="55"/>
    </row>
    <row r="11" spans="1:258" x14ac:dyDescent="0.25">
      <c r="A11" s="56"/>
      <c r="B11" s="57"/>
      <c r="C11" s="57"/>
      <c r="D11" s="57"/>
      <c r="E11" s="58"/>
      <c r="F11" s="61"/>
      <c r="G11" s="49"/>
      <c r="H11" s="47"/>
      <c r="I11" s="50"/>
      <c r="J11" s="51"/>
      <c r="K11" s="52"/>
      <c r="L11" s="50"/>
      <c r="M11" s="51"/>
      <c r="N11" s="52"/>
      <c r="O11" s="85"/>
      <c r="P11" s="52"/>
      <c r="Q11" s="50"/>
      <c r="R11" s="86"/>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c r="IR11" s="55"/>
      <c r="IS11" s="55"/>
      <c r="IT11" s="55"/>
      <c r="IU11" s="55"/>
      <c r="IV11" s="55"/>
      <c r="IW11" s="55"/>
      <c r="IX11" s="55"/>
    </row>
    <row r="12" spans="1:258" ht="13" x14ac:dyDescent="0.3">
      <c r="A12" s="46" t="str">
        <f ca="1">INDEX(Database!B:B,MATCH(2,Database!A:A))</f>
        <v>Power Supply 2</v>
      </c>
      <c r="B12" s="128"/>
      <c r="C12" s="54"/>
      <c r="D12" s="54"/>
      <c r="E12" s="59"/>
      <c r="F12" s="62"/>
      <c r="G12" s="49"/>
      <c r="H12" s="47"/>
      <c r="I12" s="50"/>
      <c r="J12" s="51"/>
      <c r="K12" s="52"/>
      <c r="L12" s="50"/>
      <c r="M12" s="51"/>
      <c r="N12" s="52"/>
      <c r="O12" s="85"/>
      <c r="P12" s="52"/>
      <c r="Q12" s="50"/>
      <c r="R12" s="86"/>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c r="IR12" s="55"/>
      <c r="IS12" s="55"/>
      <c r="IT12" s="55"/>
      <c r="IU12" s="55"/>
      <c r="IV12" s="55"/>
      <c r="IW12" s="55"/>
      <c r="IX12" s="55"/>
    </row>
    <row r="13" spans="1:258" x14ac:dyDescent="0.25">
      <c r="A13" s="53" t="str">
        <f ca="1">INDEX(Database!E:E,MATCH(2,Database!A:A)+ROW()-ROW($A$12))</f>
        <v>24-48 Vdc</v>
      </c>
      <c r="B13" s="54"/>
      <c r="C13" s="54"/>
      <c r="D13" s="54"/>
      <c r="E13" s="59"/>
      <c r="F13" s="62"/>
      <c r="G13" s="60">
        <f ca="1">INDEX(Database!$F:$F,MATCH(2,Database!$A:$A)+ROW()-ROW($A$12))</f>
        <v>1</v>
      </c>
      <c r="H13" s="47"/>
      <c r="I13" s="50"/>
      <c r="J13" s="51"/>
      <c r="K13" s="52"/>
      <c r="L13" s="50"/>
      <c r="M13" s="51"/>
      <c r="N13" s="52"/>
      <c r="O13" s="85"/>
      <c r="P13" s="52"/>
      <c r="Q13" s="50"/>
      <c r="R13" s="86"/>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c r="IR13" s="55"/>
      <c r="IS13" s="55"/>
      <c r="IT13" s="55"/>
      <c r="IU13" s="55"/>
      <c r="IV13" s="55"/>
      <c r="IW13" s="55"/>
      <c r="IX13" s="55"/>
    </row>
    <row r="14" spans="1:258" x14ac:dyDescent="0.25">
      <c r="A14" s="53" t="str">
        <f ca="1">INDEX(Database!E:E,MATCH(2,Database!A:A)+ROW()-ROW($A$12))</f>
        <v>100-250 Vdc / 110-240 Vac</v>
      </c>
      <c r="B14" s="54"/>
      <c r="C14" s="54"/>
      <c r="D14" s="54"/>
      <c r="E14" s="59"/>
      <c r="F14" s="62"/>
      <c r="G14" s="60">
        <f ca="1">INDEX(Database!$F:$F,MATCH(2,Database!$A:$A)+ROW()-ROW($A$12))</f>
        <v>3</v>
      </c>
      <c r="H14" s="47"/>
      <c r="I14" s="50"/>
      <c r="J14" s="51"/>
      <c r="K14" s="52"/>
      <c r="L14" s="50"/>
      <c r="M14" s="51"/>
      <c r="N14" s="52"/>
      <c r="O14" s="85"/>
      <c r="P14" s="52"/>
      <c r="Q14" s="50"/>
      <c r="R14" s="86"/>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c r="IR14" s="55"/>
      <c r="IS14" s="55"/>
      <c r="IT14" s="55"/>
      <c r="IU14" s="55"/>
      <c r="IV14" s="55"/>
      <c r="IW14" s="55"/>
      <c r="IX14" s="55"/>
    </row>
    <row r="15" spans="1:258" x14ac:dyDescent="0.25">
      <c r="A15" s="53" t="str">
        <f ca="1">INDEX(Database!E:E,MATCH(2,Database!A:A)+ROW()-ROW($A$12))</f>
        <v>Not installed</v>
      </c>
      <c r="B15" s="54"/>
      <c r="C15" s="54"/>
      <c r="D15" s="54"/>
      <c r="E15" s="59"/>
      <c r="F15" s="62"/>
      <c r="G15" s="60" t="str">
        <f ca="1">INDEX(Database!$F:$F,MATCH(2,Database!$A:$A)+ROW()-ROW($A$12))</f>
        <v>X</v>
      </c>
      <c r="H15" s="47"/>
      <c r="I15" s="50"/>
      <c r="J15" s="51"/>
      <c r="K15" s="52"/>
      <c r="L15" s="50"/>
      <c r="M15" s="51"/>
      <c r="N15" s="52"/>
      <c r="O15" s="85"/>
      <c r="P15" s="52"/>
      <c r="Q15" s="50"/>
      <c r="R15" s="86"/>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c r="IV15" s="55"/>
      <c r="IW15" s="55"/>
      <c r="IX15" s="55"/>
    </row>
    <row r="16" spans="1:258" x14ac:dyDescent="0.25">
      <c r="A16" s="56"/>
      <c r="B16" s="57"/>
      <c r="C16" s="57"/>
      <c r="D16" s="57"/>
      <c r="E16" s="58"/>
      <c r="F16" s="61"/>
      <c r="G16" s="61"/>
      <c r="H16" s="47"/>
      <c r="I16" s="50"/>
      <c r="J16" s="51"/>
      <c r="K16" s="52"/>
      <c r="L16" s="50"/>
      <c r="M16" s="51"/>
      <c r="N16" s="52"/>
      <c r="O16" s="85"/>
      <c r="P16" s="52"/>
      <c r="Q16" s="50"/>
      <c r="R16" s="86"/>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c r="IR16" s="55"/>
      <c r="IS16" s="55"/>
      <c r="IT16" s="55"/>
      <c r="IU16" s="55"/>
      <c r="IV16" s="55"/>
      <c r="IW16" s="55"/>
      <c r="IX16" s="55"/>
    </row>
    <row r="17" spans="1:258" ht="13" x14ac:dyDescent="0.3">
      <c r="A17" s="75" t="str">
        <f ca="1">INDEX(Database!B:B,MATCH(3,Database!A:A))</f>
        <v>Ethernet Interface 1 and 2</v>
      </c>
      <c r="B17" s="129"/>
      <c r="C17" s="76"/>
      <c r="D17" s="76"/>
      <c r="E17" s="62"/>
      <c r="F17" s="62"/>
      <c r="G17" s="62"/>
      <c r="H17" s="47"/>
      <c r="I17" s="50"/>
      <c r="J17" s="51"/>
      <c r="K17" s="52"/>
      <c r="L17" s="50"/>
      <c r="M17" s="51"/>
      <c r="N17" s="52"/>
      <c r="O17" s="85"/>
      <c r="P17" s="52"/>
      <c r="Q17" s="50"/>
      <c r="R17" s="86"/>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c r="IR17" s="55"/>
      <c r="IS17" s="55"/>
      <c r="IT17" s="55"/>
      <c r="IU17" s="55"/>
      <c r="IV17" s="55"/>
      <c r="IW17" s="55"/>
      <c r="IX17" s="55"/>
    </row>
    <row r="18" spans="1:258" x14ac:dyDescent="0.25">
      <c r="A18" s="53" t="str">
        <f ca="1">INDEX(Database!E:E,MATCH(3,Database!A:A)+ROW()-ROW($A$17))</f>
        <v>RJ45 copper 100BASE-TX for configuration only</v>
      </c>
      <c r="B18" s="76"/>
      <c r="C18" s="76"/>
      <c r="D18" s="76"/>
      <c r="E18" s="62"/>
      <c r="F18" s="62"/>
      <c r="G18" s="62"/>
      <c r="H18" s="60" t="str">
        <f ca="1">INDEX(Database!$F:$F,MATCH(3,Database!$A:$A)+ROW()-ROW($A$17))</f>
        <v>C</v>
      </c>
      <c r="I18" s="50"/>
      <c r="J18" s="51"/>
      <c r="K18" s="52"/>
      <c r="L18" s="50"/>
      <c r="M18" s="51"/>
      <c r="N18" s="52"/>
      <c r="O18" s="85"/>
      <c r="P18" s="52"/>
      <c r="Q18" s="50"/>
      <c r="R18" s="86"/>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5"/>
      <c r="IV18" s="55"/>
      <c r="IW18" s="55"/>
      <c r="IX18" s="55"/>
    </row>
    <row r="19" spans="1:258" x14ac:dyDescent="0.25">
      <c r="A19" s="53" t="str">
        <f ca="1">INDEX(Database!E:E,MATCH(3,Database!A:A)+ROW()-ROW($A$17))</f>
        <v>RJ45 copper 100BASE-TX for NTP server and configuration</v>
      </c>
      <c r="B19" s="76"/>
      <c r="C19" s="76"/>
      <c r="D19" s="76"/>
      <c r="E19" s="62"/>
      <c r="F19" s="62"/>
      <c r="G19" s="62"/>
      <c r="H19" s="60" t="str">
        <f ca="1">INDEX(Database!$F:$F,MATCH(3,Database!$A:$A)+ROW()-ROW($A$17))</f>
        <v>N</v>
      </c>
      <c r="I19" s="50"/>
      <c r="J19" s="51"/>
      <c r="K19" s="52"/>
      <c r="L19" s="50"/>
      <c r="M19" s="51"/>
      <c r="N19" s="52"/>
      <c r="O19" s="85"/>
      <c r="P19" s="52"/>
      <c r="Q19" s="50"/>
      <c r="R19" s="86"/>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c r="IV19" s="55"/>
      <c r="IW19" s="55"/>
      <c r="IX19" s="55"/>
    </row>
    <row r="20" spans="1:258" x14ac:dyDescent="0.25">
      <c r="A20" s="53" t="str">
        <f ca="1">INDEX(Database!E:E,MATCH(3,Database!A:A)+ROW()-ROW($A$17))</f>
        <v>RJ45 copper 100BASE-TX for PTP (IEEE 1588) server, NTP server and configuration</v>
      </c>
      <c r="B20" s="76"/>
      <c r="C20" s="76"/>
      <c r="D20" s="76"/>
      <c r="E20" s="62"/>
      <c r="F20" s="62"/>
      <c r="G20" s="62"/>
      <c r="H20" s="60" t="str">
        <f ca="1">INDEX(Database!$F:$F,MATCH(3,Database!$A:$A)+ROW()-ROW($A$17))</f>
        <v>P</v>
      </c>
      <c r="I20" s="50"/>
      <c r="J20" s="51"/>
      <c r="K20" s="52"/>
      <c r="L20" s="50"/>
      <c r="M20" s="51"/>
      <c r="N20" s="52"/>
      <c r="O20" s="85"/>
      <c r="P20" s="52"/>
      <c r="Q20" s="50"/>
      <c r="R20" s="86"/>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c r="IW20" s="55"/>
      <c r="IX20" s="55"/>
    </row>
    <row r="21" spans="1:258" x14ac:dyDescent="0.25">
      <c r="A21" s="77"/>
      <c r="B21" s="76"/>
      <c r="C21" s="76"/>
      <c r="D21" s="78"/>
      <c r="E21" s="61"/>
      <c r="F21" s="61"/>
      <c r="G21" s="61"/>
      <c r="H21" s="61"/>
      <c r="I21" s="50"/>
      <c r="J21" s="51"/>
      <c r="K21" s="52"/>
      <c r="L21" s="50"/>
      <c r="M21" s="51"/>
      <c r="N21" s="52"/>
      <c r="O21" s="85"/>
      <c r="P21" s="52"/>
      <c r="Q21" s="50"/>
      <c r="R21" s="86"/>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c r="IS21" s="55"/>
      <c r="IT21" s="55"/>
      <c r="IU21" s="55"/>
      <c r="IV21" s="55"/>
      <c r="IW21" s="55"/>
      <c r="IX21" s="55"/>
    </row>
    <row r="22" spans="1:258" ht="13" x14ac:dyDescent="0.3">
      <c r="A22" s="75" t="str">
        <f ca="1">INDEX(Database!B:B,MATCH(4,Database!A:A))</f>
        <v>Ethernet Interface 3 and 4</v>
      </c>
      <c r="B22" s="130"/>
      <c r="C22" s="79"/>
      <c r="D22" s="76"/>
      <c r="E22" s="62"/>
      <c r="F22" s="62"/>
      <c r="G22" s="62"/>
      <c r="H22" s="62"/>
      <c r="I22" s="50"/>
      <c r="J22" s="51"/>
      <c r="K22" s="52"/>
      <c r="L22" s="50"/>
      <c r="M22" s="51"/>
      <c r="N22" s="52"/>
      <c r="O22" s="85"/>
      <c r="P22" s="52"/>
      <c r="Q22" s="50"/>
      <c r="R22" s="86"/>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c r="IU22" s="55"/>
      <c r="IV22" s="55"/>
      <c r="IW22" s="55"/>
      <c r="IX22" s="55"/>
    </row>
    <row r="23" spans="1:258" x14ac:dyDescent="0.25">
      <c r="A23" s="53" t="str">
        <f ca="1">INDEX(Database!E:E,MATCH(4,Database!A:A)+ROW()-ROW($A$22))</f>
        <v>RJ45 copper 100BASE-TX for configuration only</v>
      </c>
      <c r="B23" s="76"/>
      <c r="C23" s="76"/>
      <c r="D23" s="76"/>
      <c r="E23" s="62"/>
      <c r="F23" s="62"/>
      <c r="G23" s="62"/>
      <c r="H23" s="62"/>
      <c r="I23" s="60" t="str">
        <f ca="1">INDEX(Database!$F:$F,MATCH(4,Database!$A:$A)+ROW()-ROW($A$22))</f>
        <v>C</v>
      </c>
      <c r="J23" s="51"/>
      <c r="K23" s="52"/>
      <c r="L23" s="50"/>
      <c r="M23" s="51"/>
      <c r="N23" s="52"/>
      <c r="O23" s="85"/>
      <c r="P23" s="52"/>
      <c r="Q23" s="50"/>
      <c r="R23" s="86"/>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c r="IQ23" s="55"/>
      <c r="IR23" s="55"/>
      <c r="IS23" s="55"/>
      <c r="IT23" s="55"/>
      <c r="IU23" s="55"/>
      <c r="IV23" s="55"/>
      <c r="IW23" s="55"/>
      <c r="IX23" s="55"/>
    </row>
    <row r="24" spans="1:258" x14ac:dyDescent="0.25">
      <c r="A24" s="53" t="str">
        <f ca="1">CONCATENATE(INDEX(Database!E:E,MATCH(4,Database!A:A)+ROW()-ROW($A$22))," *")</f>
        <v>RJ45 copper 100BASE-TX for NTP server and configuration *</v>
      </c>
      <c r="B24" s="76"/>
      <c r="C24" s="76"/>
      <c r="D24" s="76"/>
      <c r="E24" s="62"/>
      <c r="F24" s="62"/>
      <c r="G24" s="62"/>
      <c r="H24" s="62"/>
      <c r="I24" s="60" t="str">
        <f ca="1">INDEX(Database!$F:$F,MATCH(4,Database!$A:$A)+ROW()-ROW($A$22))</f>
        <v>N</v>
      </c>
      <c r="J24" s="51"/>
      <c r="K24" s="52"/>
      <c r="L24" s="50"/>
      <c r="M24" s="51"/>
      <c r="N24" s="52"/>
      <c r="O24" s="85"/>
      <c r="P24" s="52"/>
      <c r="Q24" s="50"/>
      <c r="R24" s="86"/>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c r="IT24" s="55"/>
      <c r="IU24" s="55"/>
      <c r="IV24" s="55"/>
      <c r="IW24" s="55"/>
      <c r="IX24" s="55"/>
    </row>
    <row r="25" spans="1:258" x14ac:dyDescent="0.25">
      <c r="A25" s="53" t="str">
        <f ca="1">CONCATENATE(INDEX(Database!E:E,MATCH(4,Database!A:A)+ROW()-ROW($A$22))," **")</f>
        <v>RJ45 copper 100BASE-TX for PTP (IEEE 1588) server, NTP server and configuration **</v>
      </c>
      <c r="B25" s="76"/>
      <c r="C25" s="76"/>
      <c r="D25" s="76"/>
      <c r="E25" s="62"/>
      <c r="F25" s="62"/>
      <c r="G25" s="62"/>
      <c r="H25" s="62"/>
      <c r="I25" s="60" t="str">
        <f ca="1">INDEX(Database!$F:$F,MATCH(4,Database!$A:$A)+ROW()-ROW($A$22))</f>
        <v>P</v>
      </c>
      <c r="J25" s="51"/>
      <c r="K25" s="52"/>
      <c r="L25" s="50"/>
      <c r="M25" s="51"/>
      <c r="N25" s="52"/>
      <c r="O25" s="85"/>
      <c r="P25" s="52"/>
      <c r="Q25" s="50"/>
      <c r="R25" s="86"/>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c r="IS25" s="55"/>
      <c r="IT25" s="55"/>
      <c r="IU25" s="55"/>
      <c r="IV25" s="55"/>
      <c r="IW25" s="55"/>
      <c r="IX25" s="55"/>
    </row>
    <row r="26" spans="1:258" x14ac:dyDescent="0.25">
      <c r="A26" s="77"/>
      <c r="B26" s="76"/>
      <c r="C26" s="76"/>
      <c r="D26" s="78"/>
      <c r="E26" s="61"/>
      <c r="F26" s="61"/>
      <c r="G26" s="61"/>
      <c r="H26" s="61"/>
      <c r="I26" s="61"/>
      <c r="J26" s="51"/>
      <c r="K26" s="52"/>
      <c r="L26" s="50"/>
      <c r="M26" s="51"/>
      <c r="N26" s="52"/>
      <c r="O26" s="85"/>
      <c r="P26" s="52"/>
      <c r="Q26" s="50"/>
      <c r="R26" s="86"/>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c r="IS26" s="55"/>
      <c r="IT26" s="55"/>
      <c r="IU26" s="55"/>
      <c r="IV26" s="55"/>
      <c r="IW26" s="55"/>
      <c r="IX26" s="55"/>
    </row>
    <row r="27" spans="1:258" ht="13" x14ac:dyDescent="0.3">
      <c r="A27" s="46" t="str">
        <f ca="1">INDEX(Database!B:B,MATCH(5,Database!A:A))</f>
        <v>Satellite constellations supported</v>
      </c>
      <c r="B27" s="132"/>
      <c r="C27" s="41"/>
      <c r="D27" s="54"/>
      <c r="E27" s="59"/>
      <c r="F27" s="62"/>
      <c r="G27" s="62"/>
      <c r="H27" s="62"/>
      <c r="I27" s="62"/>
      <c r="J27" s="51"/>
      <c r="K27" s="52"/>
      <c r="L27" s="50"/>
      <c r="M27" s="51"/>
      <c r="N27" s="52"/>
      <c r="O27" s="85"/>
      <c r="P27" s="52"/>
      <c r="Q27" s="50"/>
      <c r="R27" s="86"/>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c r="IS27" s="55"/>
      <c r="IT27" s="55"/>
      <c r="IU27" s="55"/>
      <c r="IV27" s="55"/>
      <c r="IW27" s="55"/>
      <c r="IX27" s="55"/>
    </row>
    <row r="28" spans="1:258" x14ac:dyDescent="0.25">
      <c r="A28" s="53" t="str">
        <f ca="1">INDEX(Database!E:E,MATCH(5,Database!A:A)+ROW()-ROW($A$27))</f>
        <v>GPS</v>
      </c>
      <c r="B28" s="54"/>
      <c r="C28" s="54"/>
      <c r="D28" s="54"/>
      <c r="E28" s="59"/>
      <c r="F28" s="62"/>
      <c r="G28" s="62"/>
      <c r="H28" s="62"/>
      <c r="I28" s="62"/>
      <c r="J28" s="60" t="str">
        <f ca="1">INDEX(Database!$F:$F,MATCH(5,Database!$A:$A)+ROW()-ROW($A$27))</f>
        <v>A</v>
      </c>
      <c r="K28" s="52"/>
      <c r="L28" s="50"/>
      <c r="M28" s="51"/>
      <c r="N28" s="52"/>
      <c r="O28" s="85"/>
      <c r="P28" s="52"/>
      <c r="Q28" s="50"/>
      <c r="R28" s="86"/>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c r="IT28" s="55"/>
      <c r="IU28" s="55"/>
      <c r="IV28" s="55"/>
      <c r="IW28" s="55"/>
      <c r="IX28" s="55"/>
    </row>
    <row r="29" spans="1:258" x14ac:dyDescent="0.25">
      <c r="A29" s="53" t="str">
        <f ca="1">INDEX(Database!E:E,MATCH(5,Database!A:A)+ROW()-ROW($A$27))</f>
        <v>GPS and GLONASS</v>
      </c>
      <c r="B29" s="54"/>
      <c r="C29" s="54"/>
      <c r="D29" s="54"/>
      <c r="E29" s="59"/>
      <c r="F29" s="62"/>
      <c r="G29" s="62"/>
      <c r="H29" s="62"/>
      <c r="I29" s="62"/>
      <c r="J29" s="60" t="str">
        <f ca="1">INDEX(Database!$F:$F,MATCH(5,Database!$A:$A)+ROW()-ROW($A$27))</f>
        <v>B</v>
      </c>
      <c r="K29" s="52"/>
      <c r="L29" s="50"/>
      <c r="M29" s="51"/>
      <c r="N29" s="52"/>
      <c r="O29" s="85"/>
      <c r="P29" s="52"/>
      <c r="Q29" s="50"/>
      <c r="R29" s="86"/>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c r="IS29" s="55"/>
      <c r="IT29" s="55"/>
      <c r="IU29" s="55"/>
      <c r="IV29" s="55"/>
      <c r="IW29" s="55"/>
      <c r="IX29" s="55"/>
    </row>
    <row r="30" spans="1:258" x14ac:dyDescent="0.25">
      <c r="A30" s="56"/>
      <c r="B30" s="54"/>
      <c r="C30" s="54"/>
      <c r="D30" s="54"/>
      <c r="E30" s="59"/>
      <c r="F30" s="62"/>
      <c r="G30" s="62"/>
      <c r="H30" s="62"/>
      <c r="I30" s="62"/>
      <c r="J30" s="61"/>
      <c r="K30" s="52"/>
      <c r="L30" s="50"/>
      <c r="M30" s="51"/>
      <c r="N30" s="52"/>
      <c r="O30" s="85"/>
      <c r="P30" s="52"/>
      <c r="Q30" s="50"/>
      <c r="R30" s="86"/>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c r="IT30" s="55"/>
      <c r="IU30" s="55"/>
      <c r="IV30" s="55"/>
      <c r="IW30" s="55"/>
      <c r="IX30" s="55"/>
    </row>
    <row r="31" spans="1:258" ht="13" x14ac:dyDescent="0.3">
      <c r="A31" s="46" t="str">
        <f ca="1">INDEX(Database!B:B,MATCH(6,Database!A:A))</f>
        <v>Oscillator Type</v>
      </c>
      <c r="B31" s="132"/>
      <c r="C31" s="41"/>
      <c r="D31" s="41"/>
      <c r="E31" s="63"/>
      <c r="F31" s="64"/>
      <c r="G31" s="64"/>
      <c r="H31" s="64"/>
      <c r="I31" s="64"/>
      <c r="J31" s="62"/>
      <c r="K31" s="52"/>
      <c r="L31" s="50"/>
      <c r="M31" s="51"/>
      <c r="N31" s="52"/>
      <c r="O31" s="85"/>
      <c r="P31" s="52"/>
      <c r="Q31" s="50"/>
      <c r="R31" s="86"/>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c r="IS31" s="55"/>
      <c r="IT31" s="55"/>
      <c r="IU31" s="55"/>
      <c r="IV31" s="55"/>
      <c r="IW31" s="55"/>
      <c r="IX31" s="55"/>
    </row>
    <row r="32" spans="1:258" x14ac:dyDescent="0.25">
      <c r="A32" s="53" t="str">
        <f ca="1">INDEX(Database!E:E,MATCH(6,Database!A:A)+ROW()-ROW($A$31))</f>
        <v>TCXO</v>
      </c>
      <c r="B32" s="54"/>
      <c r="C32" s="54"/>
      <c r="D32" s="54"/>
      <c r="E32" s="59"/>
      <c r="F32" s="62"/>
      <c r="G32" s="62"/>
      <c r="H32" s="62"/>
      <c r="I32" s="62"/>
      <c r="J32" s="62"/>
      <c r="K32" s="60">
        <f ca="1">INDEX(Database!$F:$F,MATCH(6,Database!$A:$A)+ROW()-ROW($A$31))</f>
        <v>2</v>
      </c>
      <c r="L32" s="50"/>
      <c r="M32" s="51"/>
      <c r="N32" s="52"/>
      <c r="O32" s="85"/>
      <c r="P32" s="52"/>
      <c r="Q32" s="50"/>
      <c r="R32" s="86"/>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c r="IT32" s="55"/>
      <c r="IU32" s="55"/>
      <c r="IV32" s="55"/>
      <c r="IW32" s="55"/>
      <c r="IX32" s="55"/>
    </row>
    <row r="33" spans="1:258" x14ac:dyDescent="0.25">
      <c r="A33" s="56"/>
      <c r="B33" s="57"/>
      <c r="C33" s="57"/>
      <c r="D33" s="57"/>
      <c r="E33" s="58"/>
      <c r="F33" s="61"/>
      <c r="G33" s="61"/>
      <c r="H33" s="61"/>
      <c r="I33" s="61"/>
      <c r="J33" s="61"/>
      <c r="K33" s="61"/>
      <c r="L33" s="50"/>
      <c r="M33" s="51"/>
      <c r="N33" s="52"/>
      <c r="O33" s="85"/>
      <c r="P33" s="52"/>
      <c r="Q33" s="50"/>
      <c r="R33" s="86"/>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c r="IQ33" s="55"/>
      <c r="IR33" s="55"/>
      <c r="IS33" s="55"/>
      <c r="IT33" s="55"/>
      <c r="IU33" s="55"/>
      <c r="IV33" s="55"/>
      <c r="IW33" s="55"/>
      <c r="IX33" s="55"/>
    </row>
    <row r="34" spans="1:258" ht="13" x14ac:dyDescent="0.3">
      <c r="A34" s="46" t="str">
        <f ca="1">INDEX(Database!B:B,MATCH(7,Database!A:A))</f>
        <v>Customization / Regionalisation</v>
      </c>
      <c r="B34" s="128"/>
      <c r="C34" s="32"/>
      <c r="D34" s="32"/>
      <c r="E34" s="38"/>
      <c r="F34" s="38"/>
      <c r="G34" s="38"/>
      <c r="H34" s="38"/>
      <c r="I34" s="38"/>
      <c r="J34" s="38"/>
      <c r="K34" s="38"/>
      <c r="L34" s="50"/>
      <c r="M34" s="51"/>
      <c r="N34" s="52"/>
      <c r="O34" s="85"/>
      <c r="P34" s="52"/>
      <c r="Q34" s="50"/>
      <c r="R34" s="86"/>
    </row>
    <row r="35" spans="1:258" x14ac:dyDescent="0.25">
      <c r="A35" s="53" t="str">
        <f ca="1">INDEX(Database!E:E,MATCH(7,Database!A:A)+ROW()-ROW($A$34))</f>
        <v>GE branding</v>
      </c>
      <c r="B35" s="54"/>
      <c r="C35" s="32"/>
      <c r="D35" s="32"/>
      <c r="E35" s="38"/>
      <c r="F35" s="38"/>
      <c r="G35" s="38"/>
      <c r="H35" s="38"/>
      <c r="I35" s="38"/>
      <c r="J35" s="38"/>
      <c r="K35" s="38"/>
      <c r="L35" s="60" t="str">
        <f ca="1">INDEX(Database!$F:$F,MATCH(7,Database!$A:$A)+ROW()-ROW($A$34))</f>
        <v>C</v>
      </c>
      <c r="M35" s="51"/>
      <c r="N35" s="52"/>
      <c r="O35" s="84"/>
      <c r="P35" s="52"/>
      <c r="Q35" s="50"/>
      <c r="R35" s="86"/>
    </row>
    <row r="36" spans="1:258" x14ac:dyDescent="0.25">
      <c r="A36" s="56"/>
      <c r="B36" s="57"/>
      <c r="C36" s="57"/>
      <c r="D36" s="57"/>
      <c r="E36" s="58"/>
      <c r="F36" s="61"/>
      <c r="G36" s="61"/>
      <c r="H36" s="61"/>
      <c r="I36" s="61"/>
      <c r="J36" s="61"/>
      <c r="K36" s="61"/>
      <c r="L36" s="61"/>
      <c r="M36" s="51"/>
      <c r="N36" s="52"/>
      <c r="O36" s="84"/>
      <c r="P36" s="52"/>
      <c r="Q36" s="50"/>
      <c r="R36" s="86"/>
    </row>
    <row r="37" spans="1:258" ht="13" x14ac:dyDescent="0.3">
      <c r="A37" s="46" t="str">
        <f ca="1">INDEX(Database!B:B,MATCH(8,Database!A:A))</f>
        <v>Firmware Version</v>
      </c>
      <c r="B37" s="128"/>
      <c r="C37" s="32"/>
      <c r="D37" s="32"/>
      <c r="E37" s="38"/>
      <c r="F37" s="38"/>
      <c r="G37" s="38"/>
      <c r="H37" s="38"/>
      <c r="I37" s="38"/>
      <c r="J37" s="38"/>
      <c r="K37" s="38"/>
      <c r="L37" s="62"/>
      <c r="M37" s="51"/>
      <c r="N37" s="52"/>
      <c r="O37" s="84"/>
      <c r="P37" s="52"/>
      <c r="Q37" s="50"/>
      <c r="R37" s="86"/>
    </row>
    <row r="38" spans="1:258" x14ac:dyDescent="0.25">
      <c r="A38" s="53" t="str">
        <f ca="1">INDEX(Database!E:E,MATCH(8,Database!A:A)+ROW()-ROW($A$37))</f>
        <v>Latest available firmware - 08</v>
      </c>
      <c r="B38" s="54"/>
      <c r="C38" s="32"/>
      <c r="D38" s="32"/>
      <c r="E38" s="38"/>
      <c r="F38" s="38"/>
      <c r="G38" s="38"/>
      <c r="H38" s="38"/>
      <c r="I38" s="38"/>
      <c r="J38" s="38"/>
      <c r="K38" s="38"/>
      <c r="L38" s="62"/>
      <c r="M38" s="60" t="str">
        <f ca="1">INDEX(Database!$F:$F,MATCH(8,Database!$A:$A)+ROW()-ROW($A$37))</f>
        <v>08</v>
      </c>
      <c r="N38" s="52"/>
      <c r="O38" s="84"/>
      <c r="P38" s="52"/>
      <c r="Q38" s="50"/>
      <c r="R38" s="86"/>
    </row>
    <row r="39" spans="1:258" x14ac:dyDescent="0.25">
      <c r="A39" s="53" t="str">
        <f ca="1">INDEX(Database!E:E,MATCH(8,Database!A:A)+ROW()-ROW($A$37))</f>
        <v>Firmware version number - 07 (withdraw)</v>
      </c>
      <c r="B39" s="54"/>
      <c r="C39" s="32"/>
      <c r="D39" s="32"/>
      <c r="E39" s="38"/>
      <c r="F39" s="38"/>
      <c r="G39" s="38"/>
      <c r="H39" s="38"/>
      <c r="I39" s="38"/>
      <c r="J39" s="38"/>
      <c r="K39" s="38"/>
      <c r="L39" s="62"/>
      <c r="M39" s="60" t="str">
        <f ca="1">INDEX(Database!$F:$F,MATCH(8,Database!$A:$A)+ROW()-ROW($A$37))</f>
        <v>07</v>
      </c>
      <c r="N39" s="52"/>
      <c r="O39" s="84"/>
      <c r="P39" s="52"/>
      <c r="Q39" s="50"/>
      <c r="R39" s="86"/>
    </row>
    <row r="40" spans="1:258" x14ac:dyDescent="0.25">
      <c r="A40" s="56"/>
      <c r="B40" s="57"/>
      <c r="C40" s="57"/>
      <c r="D40" s="57"/>
      <c r="E40" s="58"/>
      <c r="F40" s="61"/>
      <c r="G40" s="61"/>
      <c r="H40" s="61"/>
      <c r="I40" s="61"/>
      <c r="J40" s="61"/>
      <c r="K40" s="61"/>
      <c r="L40" s="61"/>
      <c r="M40" s="61"/>
      <c r="N40" s="52"/>
      <c r="O40" s="84"/>
      <c r="P40" s="52"/>
      <c r="Q40" s="50"/>
      <c r="R40" s="86"/>
    </row>
    <row r="41" spans="1:258" ht="13" x14ac:dyDescent="0.3">
      <c r="A41" s="46" t="str">
        <f ca="1">INDEX(Database!B:B,MATCH(9,Database!A:A))</f>
        <v>Hardware Design Suffix</v>
      </c>
      <c r="B41" s="128"/>
      <c r="C41" s="32"/>
      <c r="D41" s="32"/>
      <c r="E41" s="38"/>
      <c r="F41" s="38"/>
      <c r="G41" s="38"/>
      <c r="H41" s="38"/>
      <c r="I41" s="38"/>
      <c r="J41" s="38"/>
      <c r="K41" s="38"/>
      <c r="L41" s="38"/>
      <c r="M41" s="38"/>
      <c r="N41" s="52"/>
      <c r="O41" s="85"/>
      <c r="P41" s="52"/>
      <c r="Q41" s="50"/>
      <c r="R41" s="86"/>
    </row>
    <row r="42" spans="1:258" x14ac:dyDescent="0.25">
      <c r="A42" s="53" t="str">
        <f ca="1">INDEX(Database!E:E,MATCH(9,Database!A:A)+ROW()-ROW($A$41))</f>
        <v>GNSS version</v>
      </c>
      <c r="B42" s="54"/>
      <c r="C42" s="32"/>
      <c r="D42" s="32"/>
      <c r="E42" s="38"/>
      <c r="F42" s="38"/>
      <c r="G42" s="38"/>
      <c r="H42" s="38"/>
      <c r="I42" s="38"/>
      <c r="J42" s="38"/>
      <c r="K42" s="38"/>
      <c r="L42" s="38"/>
      <c r="M42" s="38"/>
      <c r="N42" s="60" t="str">
        <f ca="1">INDEX(Database!$F:$F,MATCH(9,Database!$A:$A)+ROW()-ROW($A$41))</f>
        <v>B</v>
      </c>
      <c r="O42" s="84"/>
      <c r="P42" s="52"/>
      <c r="Q42" s="50"/>
      <c r="R42" s="86"/>
    </row>
    <row r="43" spans="1:258" x14ac:dyDescent="0.25">
      <c r="A43" s="53"/>
      <c r="B43" s="54"/>
      <c r="C43" s="32"/>
      <c r="D43" s="32"/>
      <c r="E43" s="38"/>
      <c r="F43" s="38"/>
      <c r="G43" s="38"/>
      <c r="H43" s="38"/>
      <c r="I43" s="38"/>
      <c r="J43" s="38"/>
      <c r="K43" s="38"/>
      <c r="L43" s="62"/>
      <c r="M43" s="62"/>
      <c r="N43" s="62"/>
      <c r="O43" s="84"/>
      <c r="P43" s="52"/>
      <c r="Q43" s="50"/>
      <c r="R43" s="86"/>
    </row>
    <row r="44" spans="1:258" x14ac:dyDescent="0.25">
      <c r="A44" s="87"/>
      <c r="B44" s="131"/>
      <c r="C44" s="88"/>
      <c r="D44" s="88"/>
      <c r="E44" s="89"/>
      <c r="F44" s="89"/>
      <c r="G44" s="89"/>
      <c r="H44" s="89"/>
      <c r="I44" s="89"/>
      <c r="J44" s="89"/>
      <c r="K44" s="89"/>
      <c r="L44" s="89"/>
      <c r="M44" s="89"/>
      <c r="N44" s="89"/>
      <c r="O44" s="74"/>
      <c r="P44" s="52"/>
      <c r="Q44" s="50"/>
      <c r="R44" s="86"/>
    </row>
    <row r="45" spans="1:258" ht="13" x14ac:dyDescent="0.3">
      <c r="A45" s="46" t="str">
        <f ca="1">INDEX(Database!B:B,MATCH(10,Database!A:A))</f>
        <v>GPS Antenna</v>
      </c>
      <c r="B45" s="128"/>
      <c r="C45" s="32"/>
      <c r="D45" s="32"/>
      <c r="E45" s="38"/>
      <c r="F45" s="38"/>
      <c r="G45" s="38"/>
      <c r="H45" s="38"/>
      <c r="I45" s="38"/>
      <c r="J45" s="38"/>
      <c r="K45" s="38"/>
      <c r="L45" s="38"/>
      <c r="M45" s="38"/>
      <c r="N45" s="38"/>
      <c r="O45" s="38"/>
      <c r="P45" s="52"/>
      <c r="Q45" s="50"/>
      <c r="R45" s="86"/>
    </row>
    <row r="46" spans="1:258" x14ac:dyDescent="0.25">
      <c r="A46" s="53" t="str">
        <f ca="1">INDEX(Database!E:E,MATCH(10,Database!A:A)+ROW()-ROW($A$45))</f>
        <v>Without antenna</v>
      </c>
      <c r="B46" s="54"/>
      <c r="C46" s="32"/>
      <c r="D46" s="32"/>
      <c r="E46" s="38"/>
      <c r="F46" s="38"/>
      <c r="G46" s="38"/>
      <c r="H46" s="38"/>
      <c r="I46" s="38"/>
      <c r="J46" s="38"/>
      <c r="K46" s="38"/>
      <c r="L46" s="38"/>
      <c r="M46" s="38"/>
      <c r="N46" s="38"/>
      <c r="O46" s="38"/>
      <c r="P46" s="60">
        <f ca="1">INDEX(Database!$F:$F,MATCH(10,Database!$A:$A)+ROW()-ROW($A$45))</f>
        <v>0</v>
      </c>
      <c r="Q46" s="50"/>
      <c r="R46" s="86"/>
    </row>
    <row r="47" spans="1:258" x14ac:dyDescent="0.25">
      <c r="A47" s="53" t="str">
        <f ca="1">INDEX(Database!E:E,MATCH(10,Database!A:A)+ROW()-ROW($A$45))</f>
        <v>3.3V TNC Female active GNSS antenna</v>
      </c>
      <c r="B47" s="54"/>
      <c r="C47" s="32"/>
      <c r="D47" s="32"/>
      <c r="E47" s="38"/>
      <c r="F47" s="38"/>
      <c r="G47" s="38"/>
      <c r="H47" s="38"/>
      <c r="I47" s="38"/>
      <c r="J47" s="38"/>
      <c r="K47" s="38"/>
      <c r="L47" s="38"/>
      <c r="M47" s="38"/>
      <c r="N47" s="38"/>
      <c r="O47" s="38"/>
      <c r="P47" s="60">
        <f ca="1">INDEX(Database!$F:$F,MATCH(10,Database!$A:$A)+ROW()-ROW($A$45))</f>
        <v>2</v>
      </c>
      <c r="Q47" s="50"/>
      <c r="R47" s="86"/>
    </row>
    <row r="48" spans="1:258" x14ac:dyDescent="0.25">
      <c r="A48" s="90"/>
      <c r="B48" s="65"/>
      <c r="C48" s="65"/>
      <c r="D48" s="65"/>
      <c r="E48" s="72"/>
      <c r="F48" s="72"/>
      <c r="G48" s="72"/>
      <c r="H48" s="72"/>
      <c r="I48" s="72"/>
      <c r="J48" s="72"/>
      <c r="K48" s="72"/>
      <c r="L48" s="72"/>
      <c r="M48" s="72"/>
      <c r="N48" s="72"/>
      <c r="O48" s="72"/>
      <c r="P48" s="72"/>
      <c r="Q48" s="50"/>
      <c r="R48" s="86"/>
    </row>
    <row r="49" spans="1:18" ht="13" x14ac:dyDescent="0.3">
      <c r="A49" s="46" t="str">
        <f ca="1">INDEX(Database!B:B,MATCH(11,Database!A:A))</f>
        <v>Antenna Cable</v>
      </c>
      <c r="B49" s="128"/>
      <c r="C49" s="32"/>
      <c r="D49" s="32"/>
      <c r="E49" s="38"/>
      <c r="F49" s="38"/>
      <c r="G49" s="38"/>
      <c r="H49" s="38"/>
      <c r="I49" s="38"/>
      <c r="J49" s="38"/>
      <c r="K49" s="38"/>
      <c r="L49" s="38"/>
      <c r="M49" s="38"/>
      <c r="N49" s="38"/>
      <c r="O49" s="38"/>
      <c r="P49" s="38"/>
      <c r="Q49" s="50"/>
      <c r="R49" s="86"/>
    </row>
    <row r="50" spans="1:18" x14ac:dyDescent="0.25">
      <c r="A50" s="53" t="str">
        <f ca="1">INDEX(Database!E:E,MATCH(11,Database!A:A)+ROW()-ROW($A$49))</f>
        <v>No cable</v>
      </c>
      <c r="B50" s="54"/>
      <c r="C50" s="32"/>
      <c r="D50" s="32"/>
      <c r="E50" s="38"/>
      <c r="F50" s="38"/>
      <c r="G50" s="38"/>
      <c r="H50" s="38"/>
      <c r="I50" s="38"/>
      <c r="J50" s="38"/>
      <c r="K50" s="38"/>
      <c r="L50" s="38"/>
      <c r="M50" s="38"/>
      <c r="N50" s="38"/>
      <c r="O50" s="38"/>
      <c r="P50" s="38"/>
      <c r="Q50" s="60">
        <f ca="1">INDEX(Database!$F:$F,MATCH(11,Database!$A:$A)+ROW()-ROW($A$49))</f>
        <v>0</v>
      </c>
      <c r="R50" s="86"/>
    </row>
    <row r="51" spans="1:18" x14ac:dyDescent="0.25">
      <c r="A51" s="53" t="str">
        <f ca="1">INDEX(Database!E:E,MATCH(11,Database!A:A)+ROW()-ROW($A$49))</f>
        <v>25 m (82 ft) TNC Male to BNC Male (Attennuation &lt; 0.5 dB/m @ 1500 MHZ)</v>
      </c>
      <c r="B51" s="54"/>
      <c r="C51" s="32"/>
      <c r="D51" s="32"/>
      <c r="E51" s="38"/>
      <c r="F51" s="38"/>
      <c r="G51" s="38"/>
      <c r="H51" s="38"/>
      <c r="I51" s="38"/>
      <c r="J51" s="38"/>
      <c r="K51" s="38"/>
      <c r="L51" s="38"/>
      <c r="M51" s="38"/>
      <c r="N51" s="38"/>
      <c r="O51" s="38"/>
      <c r="P51" s="38"/>
      <c r="Q51" s="60">
        <f ca="1">INDEX(Database!$F:$F,MATCH(11,Database!$A:$A)+ROW()-ROW($A$49))</f>
        <v>2</v>
      </c>
      <c r="R51" s="86"/>
    </row>
    <row r="52" spans="1:18" x14ac:dyDescent="0.25">
      <c r="A52" s="53" t="str">
        <f ca="1">INDEX(Database!E:E,MATCH(11,Database!A:A)+ROW()-ROW($A$49))</f>
        <v>40 m (131 ft) TNC Male to BNC Male (Attennuation &lt; 0.5 dB/m @ 1500 MHZ)</v>
      </c>
      <c r="B52" s="54"/>
      <c r="C52" s="32"/>
      <c r="D52" s="32"/>
      <c r="E52" s="38"/>
      <c r="F52" s="38"/>
      <c r="G52" s="38"/>
      <c r="H52" s="38"/>
      <c r="I52" s="38"/>
      <c r="J52" s="38"/>
      <c r="K52" s="38"/>
      <c r="L52" s="38"/>
      <c r="M52" s="38"/>
      <c r="N52" s="38"/>
      <c r="O52" s="38"/>
      <c r="P52" s="38"/>
      <c r="Q52" s="60">
        <f ca="1">INDEX(Database!$F:$F,MATCH(11,Database!$A:$A)+ROW()-ROW($A$49))</f>
        <v>3</v>
      </c>
      <c r="R52" s="86"/>
    </row>
    <row r="53" spans="1:18" x14ac:dyDescent="0.25">
      <c r="A53" s="53" t="str">
        <f ca="1">INDEX(Database!E:E,MATCH(11,Database!A:A)+ROW()-ROW($A$49))</f>
        <v>100 m (328 ft) TNC Male to BNC Male (Attennuation &lt; 0.2 dB/m @ 1500 MHZ)</v>
      </c>
      <c r="B53" s="54"/>
      <c r="C53" s="32"/>
      <c r="D53" s="32"/>
      <c r="E53" s="38"/>
      <c r="F53" s="38"/>
      <c r="G53" s="38"/>
      <c r="H53" s="38"/>
      <c r="I53" s="38"/>
      <c r="J53" s="38"/>
      <c r="K53" s="38"/>
      <c r="L53" s="38"/>
      <c r="M53" s="38"/>
      <c r="N53" s="38"/>
      <c r="O53" s="38"/>
      <c r="P53" s="38"/>
      <c r="Q53" s="60">
        <f ca="1">INDEX(Database!$F:$F,MATCH(11,Database!$A:$A)+ROW()-ROW($A$49))</f>
        <v>5</v>
      </c>
      <c r="R53" s="86"/>
    </row>
    <row r="54" spans="1:18" x14ac:dyDescent="0.25">
      <c r="A54" s="56"/>
      <c r="B54" s="57"/>
      <c r="C54" s="65"/>
      <c r="D54" s="65"/>
      <c r="E54" s="72"/>
      <c r="F54" s="72"/>
      <c r="G54" s="72"/>
      <c r="H54" s="72"/>
      <c r="I54" s="72"/>
      <c r="J54" s="72"/>
      <c r="K54" s="72"/>
      <c r="L54" s="72"/>
      <c r="M54" s="72"/>
      <c r="N54" s="72"/>
      <c r="O54" s="72"/>
      <c r="P54" s="72"/>
      <c r="Q54" s="61"/>
      <c r="R54" s="86"/>
    </row>
    <row r="55" spans="1:18" ht="13" x14ac:dyDescent="0.3">
      <c r="A55" s="46" t="str">
        <f ca="1">INDEX(Database!B:B,MATCH(12,Database!A:A))</f>
        <v>Surge Arrester</v>
      </c>
      <c r="B55" s="128"/>
      <c r="C55" s="32"/>
      <c r="D55" s="32"/>
      <c r="E55" s="38"/>
      <c r="F55" s="38"/>
      <c r="G55" s="38"/>
      <c r="H55" s="38"/>
      <c r="I55" s="38"/>
      <c r="J55" s="38"/>
      <c r="K55" s="38"/>
      <c r="L55" s="38"/>
      <c r="M55" s="38"/>
      <c r="N55" s="38"/>
      <c r="O55" s="38"/>
      <c r="P55" s="38"/>
      <c r="Q55" s="38"/>
      <c r="R55" s="86"/>
    </row>
    <row r="56" spans="1:18" x14ac:dyDescent="0.25">
      <c r="A56" s="53" t="str">
        <f ca="1">INDEX(Database!E:E,MATCH(12,Database!A:A)+ROW()-ROW($A$55))</f>
        <v>Without surge arrester</v>
      </c>
      <c r="B56" s="54"/>
      <c r="C56" s="32"/>
      <c r="D56" s="32"/>
      <c r="E56" s="38"/>
      <c r="F56" s="38"/>
      <c r="G56" s="38"/>
      <c r="H56" s="38"/>
      <c r="I56" s="38"/>
      <c r="J56" s="38"/>
      <c r="K56" s="38"/>
      <c r="L56" s="38"/>
      <c r="M56" s="38"/>
      <c r="N56" s="38"/>
      <c r="O56" s="38"/>
      <c r="P56" s="38"/>
      <c r="Q56" s="38"/>
      <c r="R56" s="60">
        <f ca="1">INDEX(Database!$F:$F,MATCH(12,Database!$A:$A)+ROW()-ROW($A$55))</f>
        <v>0</v>
      </c>
    </row>
    <row r="57" spans="1:18" x14ac:dyDescent="0.25">
      <c r="A57" s="53" t="str">
        <f ca="1">INDEX(Database!E:E,MATCH(12,Database!A:A)+ROW()-ROW($A$55))</f>
        <v>10 kA, 50 Ohms, BNC-type connector Surge Arrester for 0-2000 MHz</v>
      </c>
      <c r="B57" s="32"/>
      <c r="C57" s="32"/>
      <c r="D57" s="32"/>
      <c r="E57" s="38"/>
      <c r="F57" s="38"/>
      <c r="G57" s="38"/>
      <c r="H57" s="38"/>
      <c r="I57" s="38"/>
      <c r="J57" s="38"/>
      <c r="K57" s="38"/>
      <c r="L57" s="38"/>
      <c r="M57" s="38"/>
      <c r="N57" s="38"/>
      <c r="O57" s="38"/>
      <c r="P57" s="38"/>
      <c r="Q57" s="38"/>
      <c r="R57" s="60">
        <f ca="1">INDEX(Database!$F:$F,MATCH(12,Database!$A:$A)+ROW()-ROW($A$55))</f>
        <v>1</v>
      </c>
    </row>
    <row r="58" spans="1:18" x14ac:dyDescent="0.25">
      <c r="A58" s="90"/>
      <c r="B58" s="65"/>
      <c r="C58" s="65"/>
      <c r="D58" s="65"/>
      <c r="E58" s="72"/>
      <c r="F58" s="72"/>
      <c r="G58" s="72"/>
      <c r="H58" s="72"/>
      <c r="I58" s="72"/>
      <c r="J58" s="72"/>
      <c r="K58" s="72"/>
      <c r="L58" s="72"/>
      <c r="M58" s="72"/>
      <c r="N58" s="72"/>
      <c r="O58" s="72"/>
      <c r="P58" s="72"/>
      <c r="Q58" s="72"/>
      <c r="R58" s="74"/>
    </row>
    <row r="60" spans="1:18" x14ac:dyDescent="0.25">
      <c r="A60" s="39" t="str">
        <f>CONCATENATE("* ",HLOOKUP(Language!$C$3,Language!$E$1:$Z565,69,FALSE))</f>
        <v>* Option only available if "N" or "P" selected in Ethernet Interface 1 and 2</v>
      </c>
    </row>
    <row r="61" spans="1:18" x14ac:dyDescent="0.25">
      <c r="A61" s="39" t="str">
        <f>CONCATENATE("** ",HLOOKUP(Language!$C$3,Language!$E$1:$Z566,70,FALSE))</f>
        <v>** Option only available if "P" selected in Ethernet Interface 1 and 2</v>
      </c>
    </row>
  </sheetData>
  <sheetProtection algorithmName="SHA-512" hashValue="4RFsdfLXI8ZNJSUZespp1z+XX4pDPlgl+e3GM6hO0e2ems4BH21VAqY6bEZLr87VqdZ/xM3ZFArGmeH1JxusWw==" saltValue="olfCVLVHe9AaoMmilfhJGg==" spinCount="100000" sheet="1" objects="1" scenarios="1"/>
  <mergeCells count="2">
    <mergeCell ref="P3:R3"/>
    <mergeCell ref="C3:J3"/>
  </mergeCells>
  <pageMargins left="0.7" right="0.7" top="0.75" bottom="0.75" header="0.3" footer="0.3"/>
  <pageSetup paperSize="9" orientation="landscape" horizontalDpi="1200" verticalDpi="1200" r:id="rId1"/>
  <ignoredErrors>
    <ignoredError sqref="K4:L4"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T37"/>
  <sheetViews>
    <sheetView showGridLines="0" zoomScaleNormal="100" workbookViewId="0">
      <pane ySplit="3" topLeftCell="A4" activePane="bottomLeft" state="frozen"/>
      <selection pane="bottomLeft" activeCell="B30" sqref="B30"/>
    </sheetView>
  </sheetViews>
  <sheetFormatPr defaultColWidth="9.1796875" defaultRowHeight="14" x14ac:dyDescent="0.3"/>
  <cols>
    <col min="1" max="4" width="9.1796875" style="2"/>
    <col min="5" max="5" width="26.453125" style="2" customWidth="1"/>
    <col min="6" max="6" width="9.7265625" style="2" bestFit="1" customWidth="1"/>
    <col min="7" max="18" width="5.7265625" style="23" customWidth="1"/>
    <col min="19" max="19" width="5.1796875" style="2" customWidth="1"/>
    <col min="20" max="20" width="13.54296875" style="203" bestFit="1" customWidth="1"/>
    <col min="21" max="16384" width="9.1796875" style="2"/>
  </cols>
  <sheetData>
    <row r="1" spans="1:20" ht="18" x14ac:dyDescent="0.4">
      <c r="A1" s="197" t="str">
        <f ca="1">Database!E2</f>
        <v>RT434 GNSS Precision-Time Clock</v>
      </c>
      <c r="B1" s="67"/>
      <c r="C1" s="67"/>
      <c r="D1" s="67"/>
      <c r="E1" s="67"/>
      <c r="F1" s="67"/>
      <c r="G1" s="98"/>
      <c r="H1" s="98"/>
      <c r="I1" s="98"/>
      <c r="J1" s="98"/>
      <c r="K1" s="98"/>
      <c r="L1" s="98"/>
      <c r="M1" s="98"/>
      <c r="N1" s="98"/>
      <c r="O1" s="98"/>
      <c r="P1" s="98"/>
      <c r="Q1" s="98"/>
      <c r="R1" s="98"/>
      <c r="S1" s="68"/>
      <c r="T1" s="200"/>
    </row>
    <row r="2" spans="1:20" x14ac:dyDescent="0.3">
      <c r="A2" s="99"/>
      <c r="B2" s="27"/>
      <c r="C2" s="27"/>
      <c r="D2" s="27"/>
      <c r="E2" s="27"/>
      <c r="F2" s="37" t="s">
        <v>7</v>
      </c>
      <c r="G2" s="204">
        <v>6</v>
      </c>
      <c r="H2" s="204">
        <v>7</v>
      </c>
      <c r="I2" s="204">
        <v>8</v>
      </c>
      <c r="J2" s="204">
        <v>9</v>
      </c>
      <c r="K2" s="204">
        <v>10</v>
      </c>
      <c r="L2" s="205" t="s">
        <v>211</v>
      </c>
      <c r="M2" s="205" t="s">
        <v>212</v>
      </c>
      <c r="N2" s="235" t="s">
        <v>213</v>
      </c>
      <c r="O2" s="206">
        <v>15</v>
      </c>
      <c r="P2" s="206">
        <v>16</v>
      </c>
      <c r="Q2" s="206">
        <v>17</v>
      </c>
      <c r="R2" s="206">
        <v>18</v>
      </c>
      <c r="S2" s="33"/>
      <c r="T2" s="201"/>
    </row>
    <row r="3" spans="1:20" s="26" customFormat="1" ht="18" x14ac:dyDescent="0.4">
      <c r="A3" s="100"/>
      <c r="B3" s="28"/>
      <c r="C3" s="28"/>
      <c r="D3" s="28"/>
      <c r="E3" s="29"/>
      <c r="F3" s="228" t="str">
        <f ca="1">Database!E3</f>
        <v>RT434</v>
      </c>
      <c r="G3" s="24">
        <f ca="1">$G$5</f>
        <v>3</v>
      </c>
      <c r="H3" s="24" t="str">
        <f ca="1">$G$7</f>
        <v>X</v>
      </c>
      <c r="I3" s="24" t="str">
        <f ca="1">$G$9</f>
        <v>P</v>
      </c>
      <c r="J3" s="24" t="str">
        <f ca="1">$G$11</f>
        <v>N</v>
      </c>
      <c r="K3" s="24" t="str">
        <f ca="1">$G$13</f>
        <v>A</v>
      </c>
      <c r="L3" s="24">
        <f ca="1">$G$15</f>
        <v>2</v>
      </c>
      <c r="M3" s="24" t="str">
        <f ca="1">$G$17</f>
        <v>C</v>
      </c>
      <c r="N3" s="24" t="str">
        <f ca="1">$G$19</f>
        <v>08</v>
      </c>
      <c r="O3" s="24" t="str">
        <f ca="1">$G$21</f>
        <v>B</v>
      </c>
      <c r="P3" s="24">
        <f ca="1">$G$23</f>
        <v>0</v>
      </c>
      <c r="Q3" s="24">
        <f ca="1">$G$25</f>
        <v>0</v>
      </c>
      <c r="R3" s="24">
        <f ca="1">$G$27</f>
        <v>0</v>
      </c>
      <c r="S3" s="101"/>
      <c r="T3" s="201"/>
    </row>
    <row r="4" spans="1:20" ht="18" customHeight="1" x14ac:dyDescent="0.35">
      <c r="A4" s="102" t="str">
        <f ca="1">Database!$B$5</f>
        <v>Power Supply 1</v>
      </c>
      <c r="B4" s="36"/>
      <c r="C4" s="31"/>
      <c r="D4" s="31"/>
      <c r="E4" s="31"/>
      <c r="F4" s="31"/>
      <c r="G4" s="220"/>
      <c r="H4" s="207"/>
      <c r="I4" s="213"/>
      <c r="J4" s="208"/>
      <c r="K4" s="207"/>
      <c r="L4" s="213"/>
      <c r="M4" s="208"/>
      <c r="N4" s="207"/>
      <c r="O4" s="213"/>
      <c r="P4" s="208"/>
      <c r="Q4" s="207"/>
      <c r="R4" s="213"/>
      <c r="S4" s="33"/>
      <c r="T4" s="201"/>
    </row>
    <row r="5" spans="1:20" ht="26.25" customHeight="1" x14ac:dyDescent="0.3">
      <c r="A5" s="103"/>
      <c r="B5" s="31"/>
      <c r="C5" s="31"/>
      <c r="D5" s="69"/>
      <c r="E5" s="31"/>
      <c r="F5" s="31"/>
      <c r="G5" s="24">
        <f ca="1">Database!$F$5</f>
        <v>3</v>
      </c>
      <c r="H5" s="207"/>
      <c r="I5" s="213"/>
      <c r="J5" s="208"/>
      <c r="K5" s="207"/>
      <c r="L5" s="213"/>
      <c r="M5" s="208"/>
      <c r="N5" s="207"/>
      <c r="O5" s="213"/>
      <c r="P5" s="208"/>
      <c r="Q5" s="207"/>
      <c r="R5" s="213"/>
      <c r="S5" s="33"/>
      <c r="T5" s="202" t="str">
        <f ca="1">IF(INDEX(Database!H:H,MATCH(1,Database!A:A))="N",HLOOKUP(Language!$C$3,Language!$E$1:$Z493,37,FALSE),"")</f>
        <v/>
      </c>
    </row>
    <row r="6" spans="1:20" ht="18" customHeight="1" x14ac:dyDescent="0.3">
      <c r="A6" s="102" t="str">
        <f ca="1">Database!B9</f>
        <v>Power Supply 2</v>
      </c>
      <c r="B6" s="31"/>
      <c r="C6" s="31"/>
      <c r="D6" s="31"/>
      <c r="E6" s="31"/>
      <c r="F6" s="31"/>
      <c r="G6" s="221"/>
      <c r="H6" s="207"/>
      <c r="I6" s="213"/>
      <c r="J6" s="208"/>
      <c r="K6" s="207"/>
      <c r="L6" s="213"/>
      <c r="M6" s="208"/>
      <c r="N6" s="207"/>
      <c r="O6" s="213"/>
      <c r="P6" s="208"/>
      <c r="Q6" s="207"/>
      <c r="R6" s="213"/>
      <c r="S6" s="33"/>
      <c r="T6" s="201"/>
    </row>
    <row r="7" spans="1:20" ht="36" customHeight="1" x14ac:dyDescent="0.3">
      <c r="A7" s="103"/>
      <c r="B7" s="31"/>
      <c r="C7" s="31"/>
      <c r="D7" s="31"/>
      <c r="E7" s="31"/>
      <c r="F7" s="31"/>
      <c r="G7" s="25" t="str">
        <f ca="1">Database!$F$9</f>
        <v>X</v>
      </c>
      <c r="H7" s="207"/>
      <c r="I7" s="213"/>
      <c r="J7" s="208"/>
      <c r="K7" s="207"/>
      <c r="L7" s="213"/>
      <c r="M7" s="208"/>
      <c r="N7" s="207"/>
      <c r="O7" s="213"/>
      <c r="P7" s="208"/>
      <c r="Q7" s="207"/>
      <c r="R7" s="213"/>
      <c r="S7" s="33"/>
      <c r="T7" s="202" t="str">
        <f ca="1">IF(INDEX(Database!H:H,MATCH(2,Database!A:A))="N",HLOOKUP(Language!$C$3,Language!$E$1:$Z495,37,FALSE),"")</f>
        <v/>
      </c>
    </row>
    <row r="8" spans="1:20" ht="18" customHeight="1" x14ac:dyDescent="0.3">
      <c r="A8" s="102" t="str">
        <f ca="1">Database!B14</f>
        <v>Ethernet Interface 1 and 2</v>
      </c>
      <c r="B8" s="70"/>
      <c r="C8" s="31"/>
      <c r="D8" s="31"/>
      <c r="E8" s="31"/>
      <c r="F8" s="31"/>
      <c r="G8" s="222"/>
      <c r="H8" s="217"/>
      <c r="I8" s="213"/>
      <c r="J8" s="208"/>
      <c r="K8" s="207"/>
      <c r="L8" s="213"/>
      <c r="M8" s="208"/>
      <c r="N8" s="207"/>
      <c r="O8" s="213"/>
      <c r="P8" s="208"/>
      <c r="Q8" s="207"/>
      <c r="R8" s="213"/>
      <c r="S8" s="33"/>
      <c r="T8" s="201"/>
    </row>
    <row r="9" spans="1:20" ht="36" customHeight="1" x14ac:dyDescent="0.3">
      <c r="A9" s="103"/>
      <c r="B9" s="31"/>
      <c r="C9" s="31"/>
      <c r="D9" s="31"/>
      <c r="E9" s="31"/>
      <c r="F9" s="31"/>
      <c r="G9" s="25" t="str">
        <f ca="1">Database!$F$14</f>
        <v>P</v>
      </c>
      <c r="H9" s="216"/>
      <c r="I9" s="213"/>
      <c r="J9" s="208"/>
      <c r="K9" s="207"/>
      <c r="L9" s="213"/>
      <c r="M9" s="208"/>
      <c r="N9" s="207"/>
      <c r="O9" s="213"/>
      <c r="P9" s="208"/>
      <c r="Q9" s="207"/>
      <c r="R9" s="213"/>
      <c r="S9" s="33"/>
      <c r="T9" s="202" t="str">
        <f ca="1">IF(INDEX(Database!H:H,MATCH(3,Database!A:A))="N",HLOOKUP(Language!$C$3,Language!$E$1:$Z497,37,FALSE),"")</f>
        <v/>
      </c>
    </row>
    <row r="10" spans="1:20" ht="18" customHeight="1" x14ac:dyDescent="0.35">
      <c r="A10" s="102" t="str">
        <f ca="1">Database!B19</f>
        <v>Ethernet Interface 3 and 4</v>
      </c>
      <c r="B10" s="36"/>
      <c r="C10" s="71"/>
      <c r="D10" s="31"/>
      <c r="E10" s="31"/>
      <c r="F10" s="31"/>
      <c r="G10" s="223"/>
      <c r="H10" s="211"/>
      <c r="I10" s="211"/>
      <c r="J10" s="208"/>
      <c r="K10" s="207"/>
      <c r="L10" s="213"/>
      <c r="M10" s="208"/>
      <c r="N10" s="207"/>
      <c r="O10" s="213"/>
      <c r="P10" s="208"/>
      <c r="Q10" s="207"/>
      <c r="R10" s="213"/>
      <c r="S10" s="33"/>
      <c r="T10" s="201"/>
    </row>
    <row r="11" spans="1:20" ht="36" customHeight="1" x14ac:dyDescent="0.3">
      <c r="A11" s="103"/>
      <c r="B11" s="31"/>
      <c r="C11" s="31"/>
      <c r="D11" s="31"/>
      <c r="E11" s="31"/>
      <c r="F11" s="31"/>
      <c r="G11" s="25" t="str">
        <f ca="1">Database!$F$19</f>
        <v>N</v>
      </c>
      <c r="H11" s="224"/>
      <c r="I11" s="94"/>
      <c r="J11" s="208"/>
      <c r="K11" s="207"/>
      <c r="L11" s="213"/>
      <c r="M11" s="208"/>
      <c r="N11" s="207"/>
      <c r="O11" s="213"/>
      <c r="P11" s="208"/>
      <c r="Q11" s="207"/>
      <c r="R11" s="213"/>
      <c r="S11" s="33"/>
      <c r="T11" s="202" t="str">
        <f ca="1">IF(INDEX(Database!H:H,MATCH(4,Database!A:A))="N",HLOOKUP(Language!$C$3,Language!$E$1:$Z499,37,FALSE),"")</f>
        <v/>
      </c>
    </row>
    <row r="12" spans="1:20" ht="17.25" customHeight="1" x14ac:dyDescent="0.3">
      <c r="A12" s="102" t="str">
        <f ca="1">Database!$B$24</f>
        <v>Satellite constellations supported</v>
      </c>
      <c r="B12" s="31"/>
      <c r="C12" s="31"/>
      <c r="D12" s="31"/>
      <c r="E12" s="31"/>
      <c r="F12" s="31"/>
      <c r="G12" s="225"/>
      <c r="H12" s="219"/>
      <c r="I12" s="219"/>
      <c r="J12" s="219"/>
      <c r="K12" s="207"/>
      <c r="L12" s="213"/>
      <c r="M12" s="208"/>
      <c r="N12" s="207"/>
      <c r="O12" s="213"/>
      <c r="P12" s="208"/>
      <c r="Q12" s="207"/>
      <c r="R12" s="213"/>
      <c r="S12" s="33"/>
      <c r="T12" s="201"/>
    </row>
    <row r="13" spans="1:20" ht="26.25" customHeight="1" x14ac:dyDescent="0.3">
      <c r="A13" s="103"/>
      <c r="B13" s="31"/>
      <c r="C13" s="31"/>
      <c r="D13" s="31"/>
      <c r="E13" s="31"/>
      <c r="F13" s="31"/>
      <c r="G13" s="25" t="str">
        <f ca="1">Database!$F$24</f>
        <v>A</v>
      </c>
      <c r="H13" s="92"/>
      <c r="I13" s="92"/>
      <c r="J13" s="92"/>
      <c r="K13" s="207"/>
      <c r="L13" s="213"/>
      <c r="M13" s="208"/>
      <c r="N13" s="207"/>
      <c r="O13" s="213"/>
      <c r="P13" s="208"/>
      <c r="Q13" s="207"/>
      <c r="R13" s="213"/>
      <c r="S13" s="33"/>
      <c r="T13" s="202" t="str">
        <f ca="1">IF(INDEX(Database!H:H,MATCH(5,Database!A:A))="N",HLOOKUP(Language!$C$3,Language!$E$1:$Z501,37,FALSE),"")</f>
        <v/>
      </c>
    </row>
    <row r="14" spans="1:20" ht="18" customHeight="1" x14ac:dyDescent="0.3">
      <c r="A14" s="102" t="str">
        <f ca="1">Database!$B$28</f>
        <v>Oscillator Type</v>
      </c>
      <c r="B14" s="31"/>
      <c r="C14" s="31"/>
      <c r="D14" s="31"/>
      <c r="E14" s="31"/>
      <c r="F14" s="31"/>
      <c r="G14" s="215"/>
      <c r="H14" s="217"/>
      <c r="I14" s="217"/>
      <c r="J14" s="217"/>
      <c r="K14" s="217"/>
      <c r="L14" s="213"/>
      <c r="M14" s="208"/>
      <c r="N14" s="207"/>
      <c r="O14" s="213"/>
      <c r="P14" s="208"/>
      <c r="Q14" s="207"/>
      <c r="R14" s="213"/>
      <c r="S14" s="33"/>
      <c r="T14" s="201"/>
    </row>
    <row r="15" spans="1:20" ht="24" customHeight="1" x14ac:dyDescent="0.3">
      <c r="A15" s="103"/>
      <c r="B15" s="31"/>
      <c r="C15" s="31"/>
      <c r="D15" s="31"/>
      <c r="E15" s="31"/>
      <c r="F15" s="31"/>
      <c r="G15" s="24">
        <f ca="1">Database!$F$28</f>
        <v>2</v>
      </c>
      <c r="H15" s="226"/>
      <c r="I15" s="212"/>
      <c r="J15" s="212"/>
      <c r="K15" s="212"/>
      <c r="L15" s="214"/>
      <c r="M15" s="208"/>
      <c r="N15" s="207"/>
      <c r="O15" s="213"/>
      <c r="P15" s="208"/>
      <c r="Q15" s="207"/>
      <c r="R15" s="213"/>
      <c r="S15" s="33"/>
      <c r="T15" s="202" t="str">
        <f ca="1">IF(INDEX(Database!H:H,MATCH(6,Database!A:A))="N",HLOOKUP(Language!$C$3,Language!$E$1:$Z503,37,FALSE),"")</f>
        <v/>
      </c>
    </row>
    <row r="16" spans="1:20" ht="18" customHeight="1" x14ac:dyDescent="0.3">
      <c r="A16" s="102" t="str">
        <f ca="1">Database!$B$32</f>
        <v>Customization / Regionalisation</v>
      </c>
      <c r="B16" s="31"/>
      <c r="C16" s="31"/>
      <c r="D16" s="31"/>
      <c r="E16" s="31"/>
      <c r="F16" s="31"/>
      <c r="G16" s="96"/>
      <c r="H16" s="211"/>
      <c r="I16" s="211"/>
      <c r="J16" s="211"/>
      <c r="K16" s="211"/>
      <c r="L16" s="211"/>
      <c r="M16" s="208"/>
      <c r="N16" s="207"/>
      <c r="O16" s="213"/>
      <c r="P16" s="208"/>
      <c r="Q16" s="207"/>
      <c r="R16" s="213"/>
      <c r="S16" s="33"/>
      <c r="T16" s="201"/>
    </row>
    <row r="17" spans="1:20" ht="24" customHeight="1" x14ac:dyDescent="0.3">
      <c r="A17" s="103"/>
      <c r="B17" s="31"/>
      <c r="C17" s="31"/>
      <c r="D17" s="31"/>
      <c r="E17" s="31"/>
      <c r="F17" s="31"/>
      <c r="G17" s="24" t="str">
        <f ca="1">Database!$F$32</f>
        <v>C</v>
      </c>
      <c r="H17" s="94"/>
      <c r="I17" s="94"/>
      <c r="J17" s="94"/>
      <c r="K17" s="94"/>
      <c r="L17" s="94"/>
      <c r="M17" s="210"/>
      <c r="N17" s="207"/>
      <c r="O17" s="213"/>
      <c r="P17" s="208"/>
      <c r="Q17" s="207"/>
      <c r="R17" s="213"/>
      <c r="S17" s="33"/>
      <c r="T17" s="202" t="str">
        <f ca="1">IF(INDEX(Database!H:H,MATCH(7,Database!A:A))="N",HLOOKUP(Language!$C$3,Language!$E$1:$Z505,37,FALSE),"")</f>
        <v/>
      </c>
    </row>
    <row r="18" spans="1:20" ht="18" customHeight="1" x14ac:dyDescent="0.3">
      <c r="A18" s="102" t="str">
        <f ca="1">Database!$B$36</f>
        <v>Firmware Version</v>
      </c>
      <c r="B18" s="31"/>
      <c r="C18" s="31"/>
      <c r="D18" s="31"/>
      <c r="E18" s="31"/>
      <c r="F18" s="31"/>
      <c r="G18" s="97"/>
      <c r="H18" s="92"/>
      <c r="I18" s="92"/>
      <c r="J18" s="92"/>
      <c r="K18" s="92"/>
      <c r="L18" s="92"/>
      <c r="M18" s="92"/>
      <c r="N18" s="207"/>
      <c r="O18" s="213"/>
      <c r="P18" s="208"/>
      <c r="Q18" s="207"/>
      <c r="R18" s="213"/>
      <c r="S18" s="33"/>
      <c r="T18" s="201"/>
    </row>
    <row r="19" spans="1:20" s="31" customFormat="1" ht="24" customHeight="1" x14ac:dyDescent="0.3">
      <c r="A19" s="103"/>
      <c r="G19" s="24" t="str">
        <f ca="1">Database!$F$36</f>
        <v>08</v>
      </c>
      <c r="H19" s="95"/>
      <c r="I19" s="95"/>
      <c r="J19" s="95"/>
      <c r="K19" s="95"/>
      <c r="L19" s="95"/>
      <c r="M19" s="95"/>
      <c r="N19" s="209"/>
      <c r="O19" s="213"/>
      <c r="P19" s="208"/>
      <c r="Q19" s="207"/>
      <c r="R19" s="213"/>
      <c r="S19" s="33"/>
      <c r="T19" s="202" t="str">
        <f ca="1">IF(INDEX(Database!H:H,MATCH(8,Database!A:A))="N",HLOOKUP(Language!$C$3,Language!$E$1:$Z507,37,FALSE),"")</f>
        <v/>
      </c>
    </row>
    <row r="20" spans="1:20" ht="15.5" x14ac:dyDescent="0.3">
      <c r="A20" s="102" t="str">
        <f ca="1">Database!$B$40</f>
        <v>Hardware Design Suffix</v>
      </c>
      <c r="B20" s="31"/>
      <c r="C20" s="31"/>
      <c r="D20" s="31"/>
      <c r="E20" s="31"/>
      <c r="F20" s="31"/>
      <c r="G20" s="215"/>
      <c r="H20" s="216"/>
      <c r="I20" s="216"/>
      <c r="J20" s="216"/>
      <c r="K20" s="216"/>
      <c r="L20" s="216"/>
      <c r="M20" s="216"/>
      <c r="N20" s="216"/>
      <c r="O20" s="213"/>
      <c r="P20" s="208"/>
      <c r="Q20" s="207"/>
      <c r="R20" s="213"/>
      <c r="S20" s="33"/>
      <c r="T20" s="201"/>
    </row>
    <row r="21" spans="1:20" ht="24" customHeight="1" x14ac:dyDescent="0.3">
      <c r="A21" s="102"/>
      <c r="B21" s="31"/>
      <c r="C21" s="31"/>
      <c r="D21" s="31"/>
      <c r="E21" s="31"/>
      <c r="F21" s="31"/>
      <c r="G21" s="24" t="str">
        <f ca="1">Database!$F$40</f>
        <v>B</v>
      </c>
      <c r="H21" s="212"/>
      <c r="I21" s="212"/>
      <c r="J21" s="212"/>
      <c r="K21" s="212"/>
      <c r="L21" s="212"/>
      <c r="M21" s="212"/>
      <c r="N21" s="212"/>
      <c r="O21" s="214"/>
      <c r="P21" s="208"/>
      <c r="Q21" s="207"/>
      <c r="R21" s="213"/>
      <c r="S21" s="33"/>
      <c r="T21" s="201"/>
    </row>
    <row r="22" spans="1:20" ht="15.5" x14ac:dyDescent="0.3">
      <c r="A22" s="102" t="str">
        <f ca="1">Database!$B$44</f>
        <v>GPS Antenna</v>
      </c>
      <c r="B22" s="31"/>
      <c r="C22" s="31"/>
      <c r="D22" s="31"/>
      <c r="E22" s="31"/>
      <c r="F22" s="31"/>
      <c r="G22" s="96"/>
      <c r="H22" s="93"/>
      <c r="I22" s="93"/>
      <c r="J22" s="93"/>
      <c r="K22" s="93"/>
      <c r="L22" s="93"/>
      <c r="M22" s="93"/>
      <c r="N22" s="93"/>
      <c r="O22" s="211"/>
      <c r="P22" s="208"/>
      <c r="Q22" s="207"/>
      <c r="R22" s="213"/>
      <c r="S22" s="33"/>
      <c r="T22" s="201"/>
    </row>
    <row r="23" spans="1:20" ht="24" customHeight="1" x14ac:dyDescent="0.3">
      <c r="A23" s="102"/>
      <c r="B23" s="31"/>
      <c r="C23" s="31"/>
      <c r="D23" s="31"/>
      <c r="E23" s="31"/>
      <c r="F23" s="31"/>
      <c r="G23" s="24">
        <f ca="1">Database!$F$44</f>
        <v>0</v>
      </c>
      <c r="H23" s="94"/>
      <c r="I23" s="94"/>
      <c r="J23" s="94"/>
      <c r="K23" s="94"/>
      <c r="L23" s="94"/>
      <c r="M23" s="94"/>
      <c r="N23" s="94"/>
      <c r="O23" s="94"/>
      <c r="P23" s="210"/>
      <c r="Q23" s="218"/>
      <c r="R23" s="227"/>
      <c r="S23" s="33"/>
      <c r="T23" s="201"/>
    </row>
    <row r="24" spans="1:20" ht="15.5" x14ac:dyDescent="0.3">
      <c r="A24" s="102" t="str">
        <f ca="1">Database!B48</f>
        <v>Antenna Cable</v>
      </c>
      <c r="B24" s="31"/>
      <c r="C24" s="31"/>
      <c r="D24" s="31"/>
      <c r="E24" s="31"/>
      <c r="F24" s="31"/>
      <c r="G24" s="97"/>
      <c r="H24" s="92"/>
      <c r="I24" s="92"/>
      <c r="J24" s="92"/>
      <c r="K24" s="92"/>
      <c r="L24" s="92"/>
      <c r="M24" s="92"/>
      <c r="N24" s="92"/>
      <c r="O24" s="219"/>
      <c r="P24" s="219"/>
      <c r="Q24" s="207"/>
      <c r="R24" s="213"/>
      <c r="S24" s="33"/>
      <c r="T24" s="201"/>
    </row>
    <row r="25" spans="1:20" ht="54.5" customHeight="1" x14ac:dyDescent="0.3">
      <c r="A25" s="103"/>
      <c r="B25" s="31"/>
      <c r="C25" s="31"/>
      <c r="D25" s="31"/>
      <c r="E25" s="31"/>
      <c r="F25" s="31"/>
      <c r="G25" s="24">
        <f ca="1">Database!$F$48</f>
        <v>0</v>
      </c>
      <c r="H25" s="95"/>
      <c r="I25" s="95"/>
      <c r="J25" s="95"/>
      <c r="K25" s="95"/>
      <c r="L25" s="95"/>
      <c r="M25" s="95"/>
      <c r="N25" s="95"/>
      <c r="O25" s="95"/>
      <c r="P25" s="95"/>
      <c r="Q25" s="209"/>
      <c r="R25" s="213"/>
      <c r="S25" s="33"/>
      <c r="T25" s="202" t="str">
        <f ca="1">IF(INDEX(Database!H:H,MATCH(9,Database!A:A))="N",HLOOKUP(Language!$C$3,Language!$E$1:$Z509,37,FALSE),"")</f>
        <v/>
      </c>
    </row>
    <row r="26" spans="1:20" ht="18" customHeight="1" x14ac:dyDescent="0.3">
      <c r="A26" s="102" t="str">
        <f ca="1">Database!B56</f>
        <v>Surge Arrester</v>
      </c>
      <c r="B26" s="31"/>
      <c r="C26" s="31"/>
      <c r="D26" s="31"/>
      <c r="E26" s="31"/>
      <c r="F26" s="31"/>
      <c r="G26" s="215"/>
      <c r="H26" s="216"/>
      <c r="I26" s="216"/>
      <c r="J26" s="216"/>
      <c r="K26" s="216"/>
      <c r="L26" s="216"/>
      <c r="M26" s="216"/>
      <c r="N26" s="216"/>
      <c r="O26" s="216"/>
      <c r="P26" s="216"/>
      <c r="Q26" s="216"/>
      <c r="R26" s="213"/>
      <c r="S26" s="33"/>
      <c r="T26" s="201"/>
    </row>
    <row r="27" spans="1:20" ht="24" customHeight="1" x14ac:dyDescent="0.3">
      <c r="A27" s="103"/>
      <c r="B27" s="31"/>
      <c r="C27" s="31"/>
      <c r="D27" s="31"/>
      <c r="E27" s="31"/>
      <c r="F27" s="31"/>
      <c r="G27" s="24">
        <f ca="1">Database!$F$56</f>
        <v>0</v>
      </c>
      <c r="H27" s="212"/>
      <c r="I27" s="212"/>
      <c r="J27" s="212"/>
      <c r="K27" s="212"/>
      <c r="L27" s="212"/>
      <c r="M27" s="212"/>
      <c r="N27" s="212"/>
      <c r="O27" s="212"/>
      <c r="P27" s="212"/>
      <c r="Q27" s="212"/>
      <c r="R27" s="214"/>
      <c r="S27" s="33"/>
      <c r="T27" s="202" t="str">
        <f ca="1">IF(INDEX(Database!H:H,MATCH(10,Database!A:A))="N",HLOOKUP(Language!$C$3,Language!$E$1:$Z511,37,FALSE),"")</f>
        <v/>
      </c>
    </row>
    <row r="28" spans="1:20" ht="26.25" customHeight="1" thickBot="1" x14ac:dyDescent="0.35">
      <c r="A28" s="104"/>
      <c r="B28" s="34"/>
      <c r="C28" s="34"/>
      <c r="D28" s="34"/>
      <c r="E28" s="34"/>
      <c r="F28" s="34"/>
      <c r="G28" s="105"/>
      <c r="H28" s="105"/>
      <c r="I28" s="105"/>
      <c r="J28" s="105"/>
      <c r="K28" s="105"/>
      <c r="L28" s="105"/>
      <c r="M28" s="105"/>
      <c r="N28" s="105"/>
      <c r="O28" s="105"/>
      <c r="P28" s="105"/>
      <c r="Q28" s="105"/>
      <c r="R28" s="105"/>
      <c r="S28" s="35"/>
      <c r="T28" s="201"/>
    </row>
    <row r="29" spans="1:20" x14ac:dyDescent="0.3">
      <c r="T29" s="201"/>
    </row>
    <row r="30" spans="1:20" x14ac:dyDescent="0.3">
      <c r="T30" s="201"/>
    </row>
    <row r="31" spans="1:20" x14ac:dyDescent="0.3">
      <c r="T31" s="201"/>
    </row>
    <row r="32" spans="1:20" x14ac:dyDescent="0.3">
      <c r="T32" s="201"/>
    </row>
    <row r="33" spans="20:20" x14ac:dyDescent="0.3">
      <c r="T33" s="201"/>
    </row>
    <row r="34" spans="20:20" x14ac:dyDescent="0.3">
      <c r="T34" s="201"/>
    </row>
    <row r="35" spans="20:20" x14ac:dyDescent="0.3">
      <c r="T35" s="201"/>
    </row>
    <row r="36" spans="20:20" x14ac:dyDescent="0.3">
      <c r="T36" s="201"/>
    </row>
    <row r="37" spans="20:20" x14ac:dyDescent="0.3">
      <c r="T37" s="201"/>
    </row>
  </sheetData>
  <sheetProtection algorithmName="SHA-512" hashValue="QH/8apBdm9grH6/lsh0sNKtOMdHIrs5clJ+NWUsA7W8QWoVtZBLhPM0k1n6+KRcu+ImwXL1AEU4AqDPT+JZP1A==" saltValue="4bZKB4P7y5zsNQcFdv7ZzQ==" spinCount="100000" sheet="1" objects="1" scenarios="1"/>
  <phoneticPr fontId="19" type="noConversion"/>
  <pageMargins left="0.7" right="0.7" top="0.75" bottom="0.75" header="0.3" footer="0.3"/>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List Box 2">
              <controlPr defaultSize="0" autoLine="0" autoPict="0">
                <anchor moveWithCells="1">
                  <from>
                    <xdr:col>0</xdr:col>
                    <xdr:colOff>0</xdr:colOff>
                    <xdr:row>4</xdr:row>
                    <xdr:rowOff>0</xdr:rowOff>
                  </from>
                  <to>
                    <xdr:col>6</xdr:col>
                    <xdr:colOff>0</xdr:colOff>
                    <xdr:row>4</xdr:row>
                    <xdr:rowOff>323850</xdr:rowOff>
                  </to>
                </anchor>
              </controlPr>
            </control>
          </mc:Choice>
        </mc:AlternateContent>
        <mc:AlternateContent xmlns:mc="http://schemas.openxmlformats.org/markup-compatibility/2006">
          <mc:Choice Requires="x14">
            <control shapeId="8197" r:id="rId5" name="List Box 5">
              <controlPr defaultSize="0" autoLine="0" autoPict="0">
                <anchor moveWithCells="1">
                  <from>
                    <xdr:col>0</xdr:col>
                    <xdr:colOff>0</xdr:colOff>
                    <xdr:row>6</xdr:row>
                    <xdr:rowOff>0</xdr:rowOff>
                  </from>
                  <to>
                    <xdr:col>6</xdr:col>
                    <xdr:colOff>0</xdr:colOff>
                    <xdr:row>7</xdr:row>
                    <xdr:rowOff>0</xdr:rowOff>
                  </to>
                </anchor>
              </controlPr>
            </control>
          </mc:Choice>
        </mc:AlternateContent>
        <mc:AlternateContent xmlns:mc="http://schemas.openxmlformats.org/markup-compatibility/2006">
          <mc:Choice Requires="x14">
            <control shapeId="8199" r:id="rId6" name="List Box 7">
              <controlPr defaultSize="0" autoLine="0" autoPict="0">
                <anchor moveWithCells="1">
                  <from>
                    <xdr:col>0</xdr:col>
                    <xdr:colOff>0</xdr:colOff>
                    <xdr:row>8</xdr:row>
                    <xdr:rowOff>0</xdr:rowOff>
                  </from>
                  <to>
                    <xdr:col>6</xdr:col>
                    <xdr:colOff>0</xdr:colOff>
                    <xdr:row>9</xdr:row>
                    <xdr:rowOff>0</xdr:rowOff>
                  </to>
                </anchor>
              </controlPr>
            </control>
          </mc:Choice>
        </mc:AlternateContent>
        <mc:AlternateContent xmlns:mc="http://schemas.openxmlformats.org/markup-compatibility/2006">
          <mc:Choice Requires="x14">
            <control shapeId="8205" r:id="rId7" name="List Box 13">
              <controlPr defaultSize="0" autoLine="0" autoPict="0">
                <anchor moveWithCells="1">
                  <from>
                    <xdr:col>0</xdr:col>
                    <xdr:colOff>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8207" r:id="rId8" name="List Box 15">
              <controlPr defaultSize="0" autoLine="0" autoPict="0">
                <anchor moveWithCells="1">
                  <from>
                    <xdr:col>0</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8234" r:id="rId9" name="List Box 42">
              <controlPr defaultSize="0" autoLine="0" autoPict="0">
                <anchor moveWithCells="1">
                  <from>
                    <xdr:col>0</xdr:col>
                    <xdr:colOff>0</xdr:colOff>
                    <xdr:row>16</xdr:row>
                    <xdr:rowOff>0</xdr:rowOff>
                  </from>
                  <to>
                    <xdr:col>6</xdr:col>
                    <xdr:colOff>0</xdr:colOff>
                    <xdr:row>16</xdr:row>
                    <xdr:rowOff>298450</xdr:rowOff>
                  </to>
                </anchor>
              </controlPr>
            </control>
          </mc:Choice>
        </mc:AlternateContent>
        <mc:AlternateContent xmlns:mc="http://schemas.openxmlformats.org/markup-compatibility/2006">
          <mc:Choice Requires="x14">
            <control shapeId="8235" r:id="rId10" name="List Box 43">
              <controlPr defaultSize="0" autoLine="0" autoPict="0">
                <anchor moveWithCells="1">
                  <from>
                    <xdr:col>0</xdr:col>
                    <xdr:colOff>0</xdr:colOff>
                    <xdr:row>14</xdr:row>
                    <xdr:rowOff>0</xdr:rowOff>
                  </from>
                  <to>
                    <xdr:col>6</xdr:col>
                    <xdr:colOff>0</xdr:colOff>
                    <xdr:row>14</xdr:row>
                    <xdr:rowOff>298450</xdr:rowOff>
                  </to>
                </anchor>
              </controlPr>
            </control>
          </mc:Choice>
        </mc:AlternateContent>
        <mc:AlternateContent xmlns:mc="http://schemas.openxmlformats.org/markup-compatibility/2006">
          <mc:Choice Requires="x14">
            <control shapeId="8237" r:id="rId11" name="List Box 45">
              <controlPr defaultSize="0" autoLine="0" autoPict="0">
                <anchor moveWithCells="1">
                  <from>
                    <xdr:col>0</xdr:col>
                    <xdr:colOff>0</xdr:colOff>
                    <xdr:row>18</xdr:row>
                    <xdr:rowOff>0</xdr:rowOff>
                  </from>
                  <to>
                    <xdr:col>6</xdr:col>
                    <xdr:colOff>0</xdr:colOff>
                    <xdr:row>18</xdr:row>
                    <xdr:rowOff>298450</xdr:rowOff>
                  </to>
                </anchor>
              </controlPr>
            </control>
          </mc:Choice>
        </mc:AlternateContent>
        <mc:AlternateContent xmlns:mc="http://schemas.openxmlformats.org/markup-compatibility/2006">
          <mc:Choice Requires="x14">
            <control shapeId="8239" r:id="rId12" name="List Box 47">
              <controlPr defaultSize="0" autoLine="0" autoPict="0">
                <anchor moveWithCells="1">
                  <from>
                    <xdr:col>0</xdr:col>
                    <xdr:colOff>0</xdr:colOff>
                    <xdr:row>24</xdr:row>
                    <xdr:rowOff>0</xdr:rowOff>
                  </from>
                  <to>
                    <xdr:col>6</xdr:col>
                    <xdr:colOff>0</xdr:colOff>
                    <xdr:row>24</xdr:row>
                    <xdr:rowOff>622300</xdr:rowOff>
                  </to>
                </anchor>
              </controlPr>
            </control>
          </mc:Choice>
        </mc:AlternateContent>
        <mc:AlternateContent xmlns:mc="http://schemas.openxmlformats.org/markup-compatibility/2006">
          <mc:Choice Requires="x14">
            <control shapeId="8241" r:id="rId13" name="List Box 49">
              <controlPr defaultSize="0" autoLine="0" autoPict="0">
                <anchor moveWithCells="1">
                  <from>
                    <xdr:col>0</xdr:col>
                    <xdr:colOff>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8242" r:id="rId14" name="List Box 50">
              <controlPr defaultSize="0" autoLine="0" autoPict="0">
                <anchor moveWithCells="1">
                  <from>
                    <xdr:col>0</xdr:col>
                    <xdr:colOff>0</xdr:colOff>
                    <xdr:row>20</xdr:row>
                    <xdr:rowOff>0</xdr:rowOff>
                  </from>
                  <to>
                    <xdr:col>6</xdr:col>
                    <xdr:colOff>0</xdr:colOff>
                    <xdr:row>20</xdr:row>
                    <xdr:rowOff>304800</xdr:rowOff>
                  </to>
                </anchor>
              </controlPr>
            </control>
          </mc:Choice>
        </mc:AlternateContent>
        <mc:AlternateContent xmlns:mc="http://schemas.openxmlformats.org/markup-compatibility/2006">
          <mc:Choice Requires="x14">
            <control shapeId="8243" r:id="rId15" name="List Box 51">
              <controlPr defaultSize="0" autoLine="0" autoPict="0">
                <anchor moveWithCells="1">
                  <from>
                    <xdr:col>0</xdr:col>
                    <xdr:colOff>0</xdr:colOff>
                    <xdr:row>22</xdr:row>
                    <xdr:rowOff>0</xdr:rowOff>
                  </from>
                  <to>
                    <xdr:col>6</xdr:col>
                    <xdr:colOff>0</xdr:colOff>
                    <xdr:row>22</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K41"/>
  <sheetViews>
    <sheetView showGridLines="0" showRowColHeaders="0" workbookViewId="0">
      <pane ySplit="1" topLeftCell="A2" activePane="bottomLeft" state="frozen"/>
      <selection pane="bottomLeft" activeCell="J33" sqref="J33"/>
    </sheetView>
  </sheetViews>
  <sheetFormatPr defaultColWidth="9.1796875" defaultRowHeight="14" x14ac:dyDescent="0.3"/>
  <cols>
    <col min="1" max="2" width="8.54296875" style="139" customWidth="1"/>
    <col min="3" max="3" width="69.453125" style="139" customWidth="1"/>
    <col min="4" max="4" width="24.7265625" style="139" customWidth="1"/>
    <col min="5" max="5" width="9.1796875" style="139"/>
    <col min="6" max="9" width="9.1796875" style="138"/>
    <col min="10" max="10" width="27.453125" style="138" customWidth="1"/>
    <col min="11" max="11" width="9.1796875" style="138"/>
    <col min="12" max="16384" width="9.1796875" style="139"/>
  </cols>
  <sheetData>
    <row r="1" spans="1:5" ht="15.5" x14ac:dyDescent="0.35">
      <c r="A1" s="134" t="str">
        <f ca="1">Database!$E$4</f>
        <v>RT4343XPNA2C08B000</v>
      </c>
      <c r="B1" s="135"/>
      <c r="C1" s="159"/>
      <c r="D1" s="136"/>
      <c r="E1" s="137"/>
    </row>
    <row r="2" spans="1:5" x14ac:dyDescent="0.3">
      <c r="A2" s="199" t="str">
        <f ca="1">Database!$E$2</f>
        <v>RT434 GNSS Precision-Time Clock</v>
      </c>
      <c r="B2" s="141"/>
      <c r="C2" s="138"/>
      <c r="D2" s="142"/>
      <c r="E2" s="138"/>
    </row>
    <row r="3" spans="1:5" x14ac:dyDescent="0.3">
      <c r="A3" s="140" t="str">
        <f ca="1">INDEX(Database!B:B,MATCH(1,Database!A:A))</f>
        <v>Power Supply 1</v>
      </c>
      <c r="B3" s="141"/>
      <c r="C3" s="138"/>
      <c r="D3" s="142"/>
      <c r="E3" s="138"/>
    </row>
    <row r="4" spans="1:5" x14ac:dyDescent="0.3">
      <c r="A4" s="143" t="str">
        <f ca="1">INDEX(Database!E:E,MATCH(1,Database!A:A))</f>
        <v>100-250 Vdc / 110-240 Vac</v>
      </c>
      <c r="B4" s="144"/>
      <c r="C4" s="138"/>
      <c r="D4" s="142"/>
      <c r="E4" s="138"/>
    </row>
    <row r="5" spans="1:5" x14ac:dyDescent="0.3">
      <c r="A5" s="140" t="str">
        <f ca="1">INDEX(Database!B:B,MATCH(2,Database!A:A))</f>
        <v>Power Supply 2</v>
      </c>
      <c r="B5" s="141"/>
      <c r="C5" s="138"/>
      <c r="D5" s="142"/>
      <c r="E5" s="138"/>
    </row>
    <row r="6" spans="1:5" x14ac:dyDescent="0.3">
      <c r="A6" s="145" t="str">
        <f ca="1">INDEX(Database!E:E,MATCH(2,Database!A:A))</f>
        <v>Not installed</v>
      </c>
      <c r="B6" s="146"/>
      <c r="C6" s="138"/>
      <c r="D6" s="142"/>
      <c r="E6" s="138"/>
    </row>
    <row r="7" spans="1:5" x14ac:dyDescent="0.3">
      <c r="A7" s="147" t="str">
        <f ca="1">INDEX(Database!B:B,MATCH(3,Database!A:A))</f>
        <v>Ethernet Interface 1 and 2</v>
      </c>
      <c r="B7" s="148"/>
      <c r="C7" s="138"/>
      <c r="D7" s="142"/>
      <c r="E7" s="138"/>
    </row>
    <row r="8" spans="1:5" x14ac:dyDescent="0.3">
      <c r="A8" s="145" t="str">
        <f ca="1">INDEX(Database!E:E,MATCH(3,Database!A:A))</f>
        <v>RJ45 copper 100BASE-TX for PTP (IEEE 1588) server, NTP server and configuration</v>
      </c>
      <c r="B8" s="146"/>
      <c r="C8" s="138"/>
      <c r="D8" s="142"/>
      <c r="E8" s="138"/>
    </row>
    <row r="9" spans="1:5" x14ac:dyDescent="0.3">
      <c r="A9" s="147" t="str">
        <f ca="1">INDEX(Database!B:B,MATCH(4,Database!A:A))</f>
        <v>Ethernet Interface 3 and 4</v>
      </c>
      <c r="B9" s="148"/>
      <c r="C9" s="138"/>
      <c r="D9" s="142"/>
      <c r="E9" s="138"/>
    </row>
    <row r="10" spans="1:5" x14ac:dyDescent="0.3">
      <c r="A10" s="143" t="str">
        <f ca="1">INDEX(Database!E:E,MATCH(4,Database!A:A))</f>
        <v>RJ45 copper 100BASE-TX for NTP server and configuration</v>
      </c>
      <c r="B10" s="144"/>
      <c r="C10" s="138"/>
      <c r="D10" s="142"/>
      <c r="E10" s="138"/>
    </row>
    <row r="11" spans="1:5" x14ac:dyDescent="0.3">
      <c r="A11" s="147" t="str">
        <f ca="1">INDEX(Database!B:B,MATCH(5,Database!A:A))</f>
        <v>Satellite constellations supported</v>
      </c>
      <c r="B11" s="148"/>
      <c r="C11" s="138"/>
      <c r="D11" s="142"/>
      <c r="E11" s="138"/>
    </row>
    <row r="12" spans="1:5" x14ac:dyDescent="0.3">
      <c r="A12" s="145" t="str">
        <f ca="1">INDEX(Database!E:E,MATCH(5,Database!A:A))</f>
        <v>GPS</v>
      </c>
      <c r="B12" s="146"/>
      <c r="C12" s="138"/>
      <c r="D12" s="142"/>
      <c r="E12" s="138"/>
    </row>
    <row r="13" spans="1:5" x14ac:dyDescent="0.3">
      <c r="A13" s="140" t="str">
        <f ca="1">INDEX(Database!B:B,MATCH(6,Database!A:A))</f>
        <v>Oscillator Type</v>
      </c>
      <c r="B13" s="141"/>
      <c r="C13" s="138"/>
      <c r="D13" s="142"/>
      <c r="E13" s="138"/>
    </row>
    <row r="14" spans="1:5" x14ac:dyDescent="0.3">
      <c r="A14" s="145" t="str">
        <f ca="1">INDEX(Database!E:E,MATCH(6,Database!A:A))</f>
        <v>TCXO</v>
      </c>
      <c r="B14" s="146"/>
      <c r="C14" s="138"/>
      <c r="D14" s="142"/>
      <c r="E14" s="138"/>
    </row>
    <row r="15" spans="1:5" x14ac:dyDescent="0.3">
      <c r="A15" s="148" t="str">
        <f ca="1">INDEX(Database!B:B,MATCH(7,Database!A:A))</f>
        <v>Customization / Regionalisation</v>
      </c>
      <c r="B15" s="148"/>
      <c r="C15" s="138"/>
      <c r="D15" s="142"/>
      <c r="E15" s="138"/>
    </row>
    <row r="16" spans="1:5" x14ac:dyDescent="0.3">
      <c r="A16" s="146" t="str">
        <f ca="1">INDEX(Database!E:E,MATCH(7,Database!A:A))</f>
        <v>GE branding</v>
      </c>
      <c r="B16" s="146"/>
      <c r="C16" s="138"/>
      <c r="D16" s="142"/>
      <c r="E16" s="138"/>
    </row>
    <row r="17" spans="1:10" x14ac:dyDescent="0.3">
      <c r="A17" s="148" t="str">
        <f ca="1">INDEX(Database!B:B,MATCH(8,Database!A:A))</f>
        <v>Firmware Version</v>
      </c>
      <c r="B17" s="148"/>
      <c r="C17" s="138"/>
      <c r="D17" s="142"/>
      <c r="E17" s="138"/>
    </row>
    <row r="18" spans="1:10" x14ac:dyDescent="0.3">
      <c r="A18" s="146" t="str">
        <f ca="1">INDEX(Database!E:E,MATCH(8,Database!A:A))</f>
        <v>Latest available firmware - 08</v>
      </c>
      <c r="B18" s="146"/>
      <c r="C18" s="138"/>
      <c r="D18" s="142"/>
      <c r="E18" s="138"/>
    </row>
    <row r="19" spans="1:10" x14ac:dyDescent="0.3">
      <c r="A19" s="148" t="str">
        <f ca="1">INDEX(Database!B:B,MATCH(8,Database!A:A))</f>
        <v>Firmware Version</v>
      </c>
      <c r="B19" s="148"/>
      <c r="C19" s="138"/>
      <c r="D19" s="142"/>
      <c r="E19" s="138"/>
    </row>
    <row r="20" spans="1:10" x14ac:dyDescent="0.3">
      <c r="A20" s="146" t="str">
        <f ca="1">INDEX(Database!E:E,MATCH(9,Database!A:A))</f>
        <v>GNSS version</v>
      </c>
      <c r="B20" s="146"/>
      <c r="C20" s="138"/>
      <c r="D20" s="142"/>
      <c r="E20" s="138"/>
    </row>
    <row r="21" spans="1:10" x14ac:dyDescent="0.3">
      <c r="A21" s="148" t="str">
        <f ca="1">INDEX(Database!B:B,MATCH(10,Database!A:A))</f>
        <v>GPS Antenna</v>
      </c>
      <c r="B21" s="148"/>
      <c r="C21" s="138"/>
      <c r="D21" s="142"/>
      <c r="E21" s="138"/>
    </row>
    <row r="22" spans="1:10" x14ac:dyDescent="0.3">
      <c r="A22" s="146" t="str">
        <f ca="1">INDEX(Database!E:E,MATCH(10,Database!A:A))</f>
        <v>Without antenna</v>
      </c>
      <c r="B22" s="146"/>
      <c r="C22" s="138"/>
      <c r="D22" s="142"/>
      <c r="E22" s="138"/>
    </row>
    <row r="23" spans="1:10" x14ac:dyDescent="0.3">
      <c r="A23" s="148" t="str">
        <f ca="1">INDEX(Database!B:B,MATCH(11,Database!A:A))</f>
        <v>Antenna Cable</v>
      </c>
      <c r="B23" s="148"/>
      <c r="C23" s="138"/>
      <c r="D23" s="142"/>
      <c r="E23" s="138"/>
    </row>
    <row r="24" spans="1:10" x14ac:dyDescent="0.3">
      <c r="A24" s="146" t="str">
        <f ca="1">INDEX(Database!E:E,MATCH(11,Database!A:A))</f>
        <v>No cable</v>
      </c>
      <c r="B24" s="146"/>
      <c r="C24" s="138"/>
      <c r="D24" s="142"/>
      <c r="E24" s="138"/>
    </row>
    <row r="25" spans="1:10" x14ac:dyDescent="0.3">
      <c r="A25" s="148" t="str">
        <f ca="1">INDEX(Database!B:B,MATCH(12,Database!A:A))</f>
        <v>Surge Arrester</v>
      </c>
      <c r="B25" s="148"/>
      <c r="C25" s="138"/>
      <c r="D25" s="142"/>
      <c r="E25" s="138"/>
    </row>
    <row r="26" spans="1:10" x14ac:dyDescent="0.3">
      <c r="A26" s="146" t="str">
        <f ca="1">INDEX(Database!E:E,MATCH(12,Database!A:A))</f>
        <v>Without surge arrester</v>
      </c>
      <c r="B26" s="146"/>
      <c r="C26" s="138"/>
      <c r="D26" s="142"/>
      <c r="E26" s="138"/>
    </row>
    <row r="27" spans="1:10" ht="14.5" thickBot="1" x14ac:dyDescent="0.35">
      <c r="A27" s="146"/>
      <c r="B27" s="146"/>
      <c r="C27" s="138"/>
      <c r="D27" s="142"/>
      <c r="E27" s="138"/>
    </row>
    <row r="28" spans="1:10" x14ac:dyDescent="0.3">
      <c r="A28" s="149"/>
      <c r="B28" s="149"/>
      <c r="C28" s="149"/>
      <c r="D28" s="150"/>
      <c r="E28" s="138"/>
    </row>
    <row r="29" spans="1:10" x14ac:dyDescent="0.3">
      <c r="A29" s="151" t="str">
        <f>HLOOKUP(Language!$C$3,Language!$E$1:$Z560,45,FALSE)</f>
        <v>Issue:</v>
      </c>
      <c r="B29" s="152"/>
      <c r="C29" s="152"/>
      <c r="D29" s="153"/>
      <c r="E29" s="138"/>
    </row>
    <row r="30" spans="1:10" x14ac:dyDescent="0.3">
      <c r="A30" s="154"/>
      <c r="B30" s="230" t="s">
        <v>0</v>
      </c>
      <c r="C30" s="231" t="str">
        <f>HLOOKUP(Language!$C$3,Language!$E$1:$Z560,46,FALSE)</f>
        <v>Original Created</v>
      </c>
      <c r="D30" s="232">
        <v>41709</v>
      </c>
      <c r="E30" s="155"/>
      <c r="F30" s="155"/>
      <c r="H30" s="155"/>
      <c r="I30" s="155"/>
      <c r="J30" s="156"/>
    </row>
    <row r="31" spans="1:10" x14ac:dyDescent="0.3">
      <c r="A31" s="233"/>
      <c r="B31" s="230" t="s">
        <v>1</v>
      </c>
      <c r="C31" s="231" t="str">
        <f>HLOOKUP(Language!$C$3,Language!$E$1:$Z561,55,FALSE)</f>
        <v>Changed antenna cable length for option 3</v>
      </c>
      <c r="D31" s="232">
        <v>41852</v>
      </c>
      <c r="E31" s="155"/>
      <c r="F31" s="155"/>
      <c r="H31" s="155"/>
      <c r="I31" s="155"/>
      <c r="J31" s="156"/>
    </row>
    <row r="32" spans="1:10" ht="25" x14ac:dyDescent="0.3">
      <c r="A32" s="233"/>
      <c r="B32" s="230" t="s">
        <v>2</v>
      </c>
      <c r="C32" s="231" t="str">
        <f>HLOOKUP(Language!$C$3,Language!$E$1:$Z562,56,FALSE)</f>
        <v>Changed firmware to version 06, enabled the PRP+PTP option, added 24-48 Vdc power supply option</v>
      </c>
      <c r="D32" s="232">
        <v>41985</v>
      </c>
      <c r="E32" s="155"/>
      <c r="F32" s="155"/>
      <c r="H32" s="155"/>
      <c r="I32" s="155"/>
      <c r="J32" s="156"/>
    </row>
    <row r="33" spans="1:10" x14ac:dyDescent="0.3">
      <c r="A33" s="233"/>
      <c r="B33" s="230" t="s">
        <v>179</v>
      </c>
      <c r="C33" s="231" t="str">
        <f>HLOOKUP(Language!$C$3,Language!$E$1:$Z563,57,FALSE)</f>
        <v>Changed antenna and antenna cable description</v>
      </c>
      <c r="D33" s="232">
        <v>42130</v>
      </c>
      <c r="E33" s="155"/>
      <c r="F33" s="155"/>
      <c r="H33" s="155"/>
      <c r="I33" s="155"/>
      <c r="J33" s="156"/>
    </row>
    <row r="34" spans="1:10" x14ac:dyDescent="0.3">
      <c r="A34" s="233"/>
      <c r="B34" s="230" t="s">
        <v>180</v>
      </c>
      <c r="C34" s="231" t="str">
        <f>HLOOKUP(Language!$C$3,Language!$E$1:$Z564,58,FALSE)</f>
        <v>New hardware and firmware release with GNSS receiver and optional oscillators</v>
      </c>
      <c r="D34" s="232">
        <f>'Date Drivers'!C2</f>
        <v>42443</v>
      </c>
      <c r="E34" s="155"/>
      <c r="F34" s="155"/>
      <c r="H34" s="155"/>
      <c r="I34" s="155"/>
      <c r="J34" s="156"/>
    </row>
    <row r="35" spans="1:10" x14ac:dyDescent="0.3">
      <c r="A35" s="233"/>
      <c r="B35" s="230" t="s">
        <v>186</v>
      </c>
      <c r="C35" s="231" t="str">
        <f>HLOOKUP(Language!$C$3,Language!$E$1:$Z565,60,FALSE)</f>
        <v>Changed branding to GE</v>
      </c>
      <c r="D35" s="232">
        <f>'Date Drivers'!G2</f>
        <v>42494</v>
      </c>
      <c r="E35" s="155"/>
      <c r="F35" s="155"/>
      <c r="H35" s="155"/>
      <c r="I35" s="155"/>
      <c r="J35" s="156"/>
    </row>
    <row r="36" spans="1:10" x14ac:dyDescent="0.3">
      <c r="A36" s="233"/>
      <c r="B36" s="230" t="s">
        <v>206</v>
      </c>
      <c r="C36" s="231" t="str">
        <f>HLOOKUP(Language!$C$3,Language!$E$1:$Z566,66,FALSE)</f>
        <v>Cables attenuation fixed</v>
      </c>
      <c r="D36" s="232">
        <f>'Date Drivers'!K2</f>
        <v>42555</v>
      </c>
      <c r="E36" s="155"/>
      <c r="F36" s="155"/>
      <c r="H36" s="155"/>
      <c r="I36" s="155"/>
      <c r="J36" s="156"/>
    </row>
    <row r="37" spans="1:10" x14ac:dyDescent="0.3">
      <c r="A37" s="233"/>
      <c r="B37" s="230" t="s">
        <v>214</v>
      </c>
      <c r="C37" s="231" t="str">
        <f>HLOOKUP(Language!$C$3,Language!$E$1:$Z567,67,FALSE)</f>
        <v>Added firmware version 08</v>
      </c>
      <c r="D37" s="232">
        <f>'Date Drivers'!O2</f>
        <v>42650</v>
      </c>
      <c r="E37" s="155"/>
      <c r="F37" s="155"/>
      <c r="H37" s="155"/>
      <c r="I37" s="155"/>
      <c r="J37" s="156"/>
    </row>
    <row r="38" spans="1:10" ht="37.5" x14ac:dyDescent="0.3">
      <c r="A38" s="233"/>
      <c r="B38" s="230" t="s">
        <v>232</v>
      </c>
      <c r="C38" s="231" t="str">
        <f>HLOOKUP(Language!$C$3,Language!$E$1:$Z568,73,FALSE)</f>
        <v>Name updated to "GNSS Precision-Time Clock" 
Added 150 m cable option
Eth3 and 4 options depending on Eth1 and 2 selection</v>
      </c>
      <c r="D38" s="232">
        <f>'Date Drivers'!S2</f>
        <v>42800</v>
      </c>
      <c r="E38" s="155"/>
      <c r="F38" s="155"/>
      <c r="H38" s="155"/>
      <c r="I38" s="155"/>
      <c r="J38" s="156"/>
    </row>
    <row r="39" spans="1:10" x14ac:dyDescent="0.3">
      <c r="A39" s="233"/>
      <c r="B39" s="230" t="s">
        <v>235</v>
      </c>
      <c r="C39" s="231" t="str">
        <f>HLOOKUP(Language!$C$3,Language!$E$1:$Z569,74,FALSE)</f>
        <v>Accessories tab added and firmware version 07 withdraw</v>
      </c>
      <c r="D39" s="232">
        <f>'Date Drivers'!W2</f>
        <v>43371</v>
      </c>
      <c r="E39" s="155"/>
      <c r="F39" s="155"/>
      <c r="H39" s="155"/>
      <c r="I39" s="155"/>
      <c r="J39" s="156"/>
    </row>
    <row r="40" spans="1:10" ht="25" x14ac:dyDescent="0.3">
      <c r="A40" s="233"/>
      <c r="B40" s="230" t="s">
        <v>257</v>
      </c>
      <c r="C40" s="231" t="str">
        <f>HLOOKUP(Language!$C$3,Language!$E$1:$Z570,80,FALSE)</f>
        <v>End-of-manufacturing of antenna cable options 15m (50ft), 75m (246ft), 150m (492ft) as per  GER-4938 notice</v>
      </c>
      <c r="D40" s="232">
        <f>'Date Drivers'!AA2</f>
        <v>45238</v>
      </c>
      <c r="E40" s="155"/>
      <c r="F40" s="155"/>
      <c r="H40" s="155"/>
      <c r="I40" s="155"/>
      <c r="J40" s="156"/>
    </row>
    <row r="41" spans="1:10" ht="14.5" thickBot="1" x14ac:dyDescent="0.35">
      <c r="A41" s="157"/>
      <c r="B41" s="157"/>
      <c r="C41" s="157"/>
      <c r="D41" s="158"/>
      <c r="E41" s="138"/>
    </row>
  </sheetData>
  <sheetProtection algorithmName="SHA-512" hashValue="WTO5IEx19BK2tHu7PfrBpoCZTsXiRacdehr/Q8CZ8RTl01/sjkO9JAV1kuGrMGreXEqHk6iMXUXIwlICo02I/g==" saltValue="zjniNygJDVSaTgYn+Emygw==" spinCount="100000" sheet="1" objects="1" scenarios="1"/>
  <phoneticPr fontId="19" type="noConversion"/>
  <pageMargins left="0.7" right="0.7" top="0.75" bottom="0.75" header="0.3" footer="0.3"/>
  <pageSetup paperSize="9" orientation="portrait" r:id="rId1"/>
  <ignoredErrors>
    <ignoredError sqref="A1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34A56-A014-4432-8227-20A42689F501}">
  <dimension ref="A1:E9"/>
  <sheetViews>
    <sheetView showRowColHeaders="0" workbookViewId="0">
      <selection activeCell="C16" sqref="C16"/>
    </sheetView>
  </sheetViews>
  <sheetFormatPr defaultRowHeight="14.5" x14ac:dyDescent="0.35"/>
  <cols>
    <col min="1" max="1" width="20.1796875" customWidth="1"/>
    <col min="2" max="2" width="20.26953125" customWidth="1"/>
    <col min="3" max="3" width="38.1796875" customWidth="1"/>
    <col min="5" max="5" width="35.453125" customWidth="1"/>
  </cols>
  <sheetData>
    <row r="1" spans="1:5" ht="24" customHeight="1" x14ac:dyDescent="0.35">
      <c r="A1" s="263" t="str">
        <f>HLOOKUP(Language!$C$3,Language!$E$1:$Z489,76,FALSE)</f>
        <v>Accessories</v>
      </c>
      <c r="B1" s="264"/>
      <c r="C1" s="264"/>
      <c r="D1" s="264"/>
      <c r="E1" s="265"/>
    </row>
    <row r="2" spans="1:5" ht="17.25" customHeight="1" x14ac:dyDescent="0.35">
      <c r="A2" s="237" t="str">
        <f>HLOOKUP(Language!$C$3,Language!$E$1:$Z489,77,FALSE)</f>
        <v>Code</v>
      </c>
      <c r="B2" s="266" t="str">
        <f>HLOOKUP(Language!$C$3,Language!$E$1:$Z489,78,FALSE)</f>
        <v>Description</v>
      </c>
      <c r="C2" s="266"/>
      <c r="D2" s="266"/>
      <c r="E2" s="266"/>
    </row>
    <row r="3" spans="1:5" ht="11.25" customHeight="1" x14ac:dyDescent="0.35">
      <c r="A3" s="238"/>
      <c r="B3" s="238"/>
      <c r="C3" s="238"/>
      <c r="D3" s="238"/>
      <c r="E3" s="238"/>
    </row>
    <row r="4" spans="1:5" ht="24" customHeight="1" x14ac:dyDescent="0.35">
      <c r="A4" s="239" t="s">
        <v>236</v>
      </c>
      <c r="B4" s="260" t="str">
        <f>HLOOKUP(Language!$C$3,Language!$E$1:$Z486,33,FALSE)</f>
        <v>3.3V TNC Female active GNSS antenna</v>
      </c>
      <c r="C4" s="261"/>
      <c r="D4" s="261"/>
      <c r="E4" s="262"/>
    </row>
    <row r="5" spans="1:5" ht="24" customHeight="1" x14ac:dyDescent="0.35">
      <c r="A5" s="239" t="s">
        <v>237</v>
      </c>
      <c r="B5" s="260" t="str">
        <f>CONCATENATE(HLOOKUP(Language!$C$3,Language!$E$1:$Z454,34,FALSE),": ",HLOOKUP(Language!$C$3,Language!$E$1:$Z454,62,FALSE))</f>
        <v>Antenna Cable: 25 m (82 ft) TNC Male to BNC Male (Attennuation &lt; 0.5 dB/m @ 1500 MHZ)</v>
      </c>
      <c r="C5" s="261"/>
      <c r="D5" s="261"/>
      <c r="E5" s="262"/>
    </row>
    <row r="6" spans="1:5" ht="24" customHeight="1" x14ac:dyDescent="0.35">
      <c r="A6" s="239" t="s">
        <v>238</v>
      </c>
      <c r="B6" s="260" t="str">
        <f>CONCATENATE(HLOOKUP(Language!$C$3,Language!$E$1:$Z454,34,FALSE),": ",HLOOKUP(Language!$C$3,Language!$E$1:$Z454,63,FALSE))</f>
        <v>Antenna Cable: 40 m (131 ft) TNC Male to BNC Male (Attennuation &lt; 0.5 dB/m @ 1500 MHZ)</v>
      </c>
      <c r="C6" s="261"/>
      <c r="D6" s="261"/>
      <c r="E6" s="262"/>
    </row>
    <row r="7" spans="1:5" ht="24" customHeight="1" x14ac:dyDescent="0.35">
      <c r="A7" s="239" t="s">
        <v>239</v>
      </c>
      <c r="B7" s="260" t="str">
        <f>CONCATENATE(HLOOKUP(Language!$C$3,Language!$E$1:$Z454,34,FALSE),": ",HLOOKUP(Language!$C$3,Language!$E$1:$Z454,65,FALSE))</f>
        <v>Antenna Cable: 100 m (328 ft) TNC Male to BNC Male (Attennuation &lt; 0.2 dB/m @ 1500 MHZ)</v>
      </c>
      <c r="C7" s="261"/>
      <c r="D7" s="261"/>
      <c r="E7" s="262"/>
    </row>
    <row r="8" spans="1:5" ht="24" customHeight="1" x14ac:dyDescent="0.35">
      <c r="A8" s="239" t="s">
        <v>240</v>
      </c>
      <c r="B8" s="240" t="str">
        <f>HLOOKUP(Language!$C$3,Language!$E$1:$Z456,43,FALSE)</f>
        <v>10 kA, 50 Ohms, BNC-type connector Surge Arrester for 0-2000 MHz</v>
      </c>
      <c r="C8" s="241"/>
      <c r="D8" s="241"/>
      <c r="E8" s="242"/>
    </row>
    <row r="9" spans="1:5" ht="24" customHeight="1" x14ac:dyDescent="0.35">
      <c r="A9" s="239" t="s">
        <v>241</v>
      </c>
      <c r="B9" s="260" t="str">
        <f>HLOOKUP(Language!$C$3,Language!$E$1:$Z489,79,FALSE)</f>
        <v>Wall kit mounting for GNSS Antenna (Q020)</v>
      </c>
      <c r="C9" s="261"/>
      <c r="D9" s="261"/>
      <c r="E9" s="262"/>
    </row>
  </sheetData>
  <sheetProtection algorithmName="SHA-512" hashValue="NgXFiP1bVFIsiPfHjvYLGDjOA5VAFgclG0UDp2Z42e6gKXxIcZ4GDxtoO4N5qvO23Eg1wPzNLFZvo+l47u441A==" saltValue="9CklHO0Mx6L1D5ppVWXZRQ==" spinCount="100000" sheet="1" objects="1" scenarios="1"/>
  <mergeCells count="7">
    <mergeCell ref="B7:E7"/>
    <mergeCell ref="B9:E9"/>
    <mergeCell ref="A1:E1"/>
    <mergeCell ref="B2:E2"/>
    <mergeCell ref="B4:E4"/>
    <mergeCell ref="B5:E5"/>
    <mergeCell ref="B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9"/>
  <sheetViews>
    <sheetView topLeftCell="A13" workbookViewId="0">
      <selection activeCell="E53" sqref="E53"/>
    </sheetView>
  </sheetViews>
  <sheetFormatPr defaultColWidth="9.1796875" defaultRowHeight="11.5" x14ac:dyDescent="0.25"/>
  <cols>
    <col min="1" max="1" width="2.7265625" style="9" customWidth="1"/>
    <col min="2" max="2" width="26.81640625" style="3" bestFit="1" customWidth="1"/>
    <col min="3" max="4" width="3.26953125" style="191" customWidth="1"/>
    <col min="5" max="5" width="68.26953125" style="3" bestFit="1" customWidth="1"/>
    <col min="6" max="6" width="3.26953125" style="9" customWidth="1"/>
    <col min="7" max="8" width="9.1796875" style="15"/>
    <col min="9" max="9" width="9.1796875" style="3"/>
    <col min="10" max="10" width="23.7265625" style="3" bestFit="1" customWidth="1"/>
    <col min="11" max="11" width="16.1796875" style="3" bestFit="1" customWidth="1"/>
    <col min="12" max="12" width="24" style="3" customWidth="1"/>
    <col min="13" max="16384" width="9.1796875" style="3"/>
  </cols>
  <sheetData>
    <row r="1" spans="1:11" x14ac:dyDescent="0.25">
      <c r="B1" s="185" t="s">
        <v>126</v>
      </c>
      <c r="E1" s="22">
        <v>45238</v>
      </c>
      <c r="F1" s="22"/>
      <c r="G1" s="15" t="s">
        <v>132</v>
      </c>
      <c r="H1" s="15" t="s">
        <v>133</v>
      </c>
      <c r="J1" s="186" t="s">
        <v>136</v>
      </c>
      <c r="K1" s="187" t="str">
        <f>ADDRESS(1,MATCH(E1,'Date Drivers'!2:2,0),1,1,"Date Drivers")</f>
        <v>'Date Drivers'!$AA$1</v>
      </c>
    </row>
    <row r="2" spans="1:11" x14ac:dyDescent="0.25">
      <c r="B2" s="185" t="s">
        <v>137</v>
      </c>
      <c r="E2" s="188" t="str">
        <f ca="1">INDEX(INDIRECT($K$1&amp;":"&amp;$K$2),4,1)</f>
        <v>RT434 GNSS Precision-Time Clock</v>
      </c>
      <c r="F2" s="188"/>
      <c r="G2" s="15">
        <f ca="1">INDEX(INDIRECT($K$1&amp;":"&amp;$K$2),5,3)</f>
        <v>0</v>
      </c>
      <c r="H2" s="15" t="str">
        <f ca="1">INDEX(INDIRECT($K$1&amp;":"&amp;$K$2),5,4)</f>
        <v>Y</v>
      </c>
      <c r="J2" s="186" t="s">
        <v>138</v>
      </c>
      <c r="K2" s="187" t="str">
        <f>ADDRESS(500,MATCH(E1,'Date Drivers'!2:2,0)+4,1,1)</f>
        <v>$AE$500</v>
      </c>
    </row>
    <row r="3" spans="1:11" x14ac:dyDescent="0.25">
      <c r="B3" s="185" t="s">
        <v>134</v>
      </c>
      <c r="C3" s="192"/>
      <c r="D3" s="192"/>
      <c r="E3" s="188" t="str">
        <f ca="1">INDEX(INDIRECT($K$1&amp;":"&amp;$K$2),5,1)</f>
        <v>RT434</v>
      </c>
      <c r="F3" s="188"/>
    </row>
    <row r="4" spans="1:11" x14ac:dyDescent="0.25">
      <c r="B4" s="189" t="s">
        <v>139</v>
      </c>
      <c r="C4" s="193"/>
      <c r="D4" s="193"/>
      <c r="E4" s="196" t="str">
        <f ca="1">E3&amp;F5&amp;F9&amp;F14&amp;F19&amp;F24&amp;F28&amp;F32&amp;F36&amp;F40&amp;F44&amp;F48&amp;F56</f>
        <v>RT4343XPNA2C08B000</v>
      </c>
      <c r="F4" s="21"/>
    </row>
    <row r="5" spans="1:11" x14ac:dyDescent="0.25">
      <c r="A5" s="170">
        <v>1</v>
      </c>
      <c r="B5" s="16" t="str">
        <f ca="1">INDIRECT("'Date Drivers'!B"&amp;C6)</f>
        <v>Power Supply 1</v>
      </c>
      <c r="C5" s="194" t="s">
        <v>14</v>
      </c>
      <c r="D5" s="194">
        <v>2</v>
      </c>
      <c r="E5" s="19" t="str">
        <f ca="1">VLOOKUP($D5,$D6:$H7,2)</f>
        <v>100-250 Vdc / 110-240 Vac</v>
      </c>
      <c r="F5" s="19">
        <f ca="1">VLOOKUP($D5,$D6:$H7,3)</f>
        <v>3</v>
      </c>
      <c r="G5" s="190">
        <f ca="1">VLOOKUP($D5,$D6:$H7,4)</f>
        <v>0</v>
      </c>
      <c r="H5" s="190" t="str">
        <f ca="1">VLOOKUP($D5,$D6:$H7,5)</f>
        <v>Y</v>
      </c>
    </row>
    <row r="6" spans="1:11" x14ac:dyDescent="0.25">
      <c r="C6" s="177">
        <f>MATCH(A5,'Date Drivers'!A:A,0)</f>
        <v>6</v>
      </c>
      <c r="D6" s="177">
        <v>1</v>
      </c>
      <c r="E6" s="80" t="str">
        <f ca="1">IF(INDEX(INDIRECT($K$1&amp;":"&amp;$K$2),$C6,1)=0,"",INDEX(INDIRECT($K$1&amp;":"&amp;$K$2),$C6,1))</f>
        <v>24-48 Vdc</v>
      </c>
      <c r="F6" s="177">
        <f ca="1">IF(INDEX(INDIRECT($K$1&amp;":"&amp;$K$2),$C6,1)=0,"",INDEX(INDIRECT($K$1&amp;":"&amp;$K$2),$C6,2))</f>
        <v>1</v>
      </c>
      <c r="G6" s="176">
        <f ca="1">IF(INDEX(INDIRECT($K$1&amp;":"&amp;$K$2),$C6,1)=0,"",INDEX(INDIRECT($K$1&amp;":"&amp;$K$2),$C6,3))</f>
        <v>0</v>
      </c>
      <c r="H6" s="176" t="str">
        <f ca="1">IF(INDEX(INDIRECT($K$1&amp;":"&amp;$K$2),$C6,1)=0,"",INDEX(INDIRECT($K$1&amp;":"&amp;$K$2),$C6,4))</f>
        <v>Y</v>
      </c>
    </row>
    <row r="7" spans="1:11" x14ac:dyDescent="0.25">
      <c r="C7" s="195">
        <f>C6+1</f>
        <v>7</v>
      </c>
      <c r="D7" s="177">
        <f>D6+1</f>
        <v>2</v>
      </c>
      <c r="E7" s="80" t="str">
        <f ca="1">IF(INDEX(INDIRECT($K$1&amp;":"&amp;$K$2),$C7,1)=0,"",INDEX(INDIRECT($K$1&amp;":"&amp;$K$2),$C7,1))</f>
        <v>100-250 Vdc / 110-240 Vac</v>
      </c>
      <c r="F7" s="177">
        <f ca="1">IF(INDEX(INDIRECT($K$1&amp;":"&amp;$K$2),$C7,1)=0,"",INDEX(INDIRECT($K$1&amp;":"&amp;$K$2),$C7,2))</f>
        <v>3</v>
      </c>
      <c r="G7" s="176">
        <f ca="1">IF(INDEX(INDIRECT($K$1&amp;":"&amp;$K$2),$C7,1)=0,"",INDEX(INDIRECT($K$1&amp;":"&amp;$K$2),$C7,3))</f>
        <v>0</v>
      </c>
      <c r="H7" s="176" t="str">
        <f ca="1">IF(INDEX(INDIRECT($K$1&amp;":"&amp;$K$2),$C7,1)=0,"",INDEX(INDIRECT($K$1&amp;":"&amp;$K$2),$C7,4))</f>
        <v>Y</v>
      </c>
    </row>
    <row r="9" spans="1:11" x14ac:dyDescent="0.25">
      <c r="A9" s="170">
        <v>2</v>
      </c>
      <c r="B9" s="16" t="str">
        <f ca="1">INDIRECT("'Date Drivers'!B"&amp;C10)</f>
        <v>Power Supply 2</v>
      </c>
      <c r="C9" s="194" t="s">
        <v>14</v>
      </c>
      <c r="D9" s="194">
        <v>3</v>
      </c>
      <c r="E9" s="19" t="str">
        <f ca="1">VLOOKUP($D9,$D10:$H12,2)</f>
        <v>Not installed</v>
      </c>
      <c r="F9" s="19" t="str">
        <f ca="1">VLOOKUP($D9,$D10:$H12,3)</f>
        <v>X</v>
      </c>
      <c r="G9" s="190">
        <f ca="1">VLOOKUP($D9,$D10:$H12,4)</f>
        <v>0</v>
      </c>
      <c r="H9" s="190" t="str">
        <f ca="1">VLOOKUP($D9,$D10:$H12,5)</f>
        <v>Y</v>
      </c>
    </row>
    <row r="10" spans="1:11" x14ac:dyDescent="0.25">
      <c r="A10" s="177"/>
      <c r="C10" s="177">
        <f>MATCH(A9,'Date Drivers'!A:A,0)</f>
        <v>9</v>
      </c>
      <c r="D10" s="177">
        <v>1</v>
      </c>
      <c r="E10" s="80" t="str">
        <f ca="1">IF(INDEX(INDIRECT($K$1&amp;":"&amp;$K$2),$C10,1)=0,"",INDEX(INDIRECT($K$1&amp;":"&amp;$K$2),$C10,1))</f>
        <v>24-48 Vdc</v>
      </c>
      <c r="F10" s="177">
        <f ca="1">IF(INDEX(INDIRECT($K$1&amp;":"&amp;$K$2),$C10,1)=0,"",INDEX(INDIRECT($K$1&amp;":"&amp;$K$2),$C10,2))</f>
        <v>1</v>
      </c>
      <c r="G10" s="176">
        <f ca="1">IF(INDEX(INDIRECT($K$1&amp;":"&amp;$K$2),$C10,1)=0,"",INDEX(INDIRECT($K$1&amp;":"&amp;$K$2),$C10,3))</f>
        <v>0</v>
      </c>
      <c r="H10" s="176" t="str">
        <f ca="1">IF(INDEX(INDIRECT($K$1&amp;":"&amp;$K$2),$C10,1)=0,"",INDEX(INDIRECT($K$1&amp;":"&amp;$K$2),$C10,4))</f>
        <v>Y</v>
      </c>
    </row>
    <row r="11" spans="1:11" x14ac:dyDescent="0.25">
      <c r="A11" s="177"/>
      <c r="C11" s="195">
        <f>C10+1</f>
        <v>10</v>
      </c>
      <c r="D11" s="177">
        <f t="shared" ref="D11:D12" si="0">D10+1</f>
        <v>2</v>
      </c>
      <c r="E11" s="80" t="str">
        <f ca="1">IF(INDEX(INDIRECT($K$1&amp;":"&amp;$K$2),$C11,1)=0,"",INDEX(INDIRECT($K$1&amp;":"&amp;$K$2),$C11,1))</f>
        <v>100-250 Vdc / 110-240 Vac</v>
      </c>
      <c r="F11" s="177">
        <f ca="1">IF(INDEX(INDIRECT($K$1&amp;":"&amp;$K$2),$C11,1)=0,"",INDEX(INDIRECT($K$1&amp;":"&amp;$K$2),$C11,2))</f>
        <v>3</v>
      </c>
      <c r="G11" s="176">
        <f ca="1">IF(INDEX(INDIRECT($K$1&amp;":"&amp;$K$2),$C11,1)=0,"",INDEX(INDIRECT($K$1&amp;":"&amp;$K$2),$C11,3))</f>
        <v>0</v>
      </c>
      <c r="H11" s="176" t="str">
        <f ca="1">IF(INDEX(INDIRECT($K$1&amp;":"&amp;$K$2),$C11,1)=0,"",INDEX(INDIRECT($K$1&amp;":"&amp;$K$2),$C11,4))</f>
        <v>Y</v>
      </c>
    </row>
    <row r="12" spans="1:11" x14ac:dyDescent="0.25">
      <c r="A12" s="177"/>
      <c r="C12" s="195">
        <f t="shared" ref="C12" si="1">C11+1</f>
        <v>11</v>
      </c>
      <c r="D12" s="177">
        <f t="shared" si="0"/>
        <v>3</v>
      </c>
      <c r="E12" s="80" t="str">
        <f ca="1">IF(INDEX(INDIRECT($K$1&amp;":"&amp;$K$2),$C12,1)=0,"",INDEX(INDIRECT($K$1&amp;":"&amp;$K$2),$C12,1))</f>
        <v>Not installed</v>
      </c>
      <c r="F12" s="177" t="str">
        <f ca="1">IF(INDEX(INDIRECT($K$1&amp;":"&amp;$K$2),$C12,1)=0,"",INDEX(INDIRECT($K$1&amp;":"&amp;$K$2),$C12,2))</f>
        <v>X</v>
      </c>
      <c r="G12" s="176">
        <f ca="1">IF(INDEX(INDIRECT($K$1&amp;":"&amp;$K$2),$C12,1)=0,"",INDEX(INDIRECT($K$1&amp;":"&amp;$K$2),$C12,3))</f>
        <v>0</v>
      </c>
      <c r="H12" s="176" t="str">
        <f ca="1">IF(INDEX(INDIRECT($K$1&amp;":"&amp;$K$2),$C12,1)=0,"",INDEX(INDIRECT($K$1&amp;":"&amp;$K$2),$C12,4))</f>
        <v>Y</v>
      </c>
    </row>
    <row r="14" spans="1:11" x14ac:dyDescent="0.25">
      <c r="A14" s="170">
        <v>3</v>
      </c>
      <c r="B14" s="16" t="str">
        <f ca="1">INDIRECT("'Date Drivers'!B"&amp;C15)</f>
        <v>Ethernet Interface 1 and 2</v>
      </c>
      <c r="C14" s="194" t="s">
        <v>14</v>
      </c>
      <c r="D14" s="194">
        <v>3</v>
      </c>
      <c r="E14" s="19" t="str">
        <f ca="1">VLOOKUP($D14,$D15:$H17,2)</f>
        <v>RJ45 copper 100BASE-TX for PTP (IEEE 1588) server, NTP server and configuration</v>
      </c>
      <c r="F14" s="19" t="str">
        <f ca="1">VLOOKUP($D14,$D15:$H17,3)</f>
        <v>P</v>
      </c>
      <c r="G14" s="190">
        <f ca="1">VLOOKUP($D14,$D15:$H17,4)</f>
        <v>0</v>
      </c>
      <c r="H14" s="190" t="str">
        <f ca="1">VLOOKUP($D14,$D15:$H17,5)</f>
        <v>Y</v>
      </c>
    </row>
    <row r="15" spans="1:11" x14ac:dyDescent="0.25">
      <c r="A15" s="177"/>
      <c r="B15" s="80"/>
      <c r="C15" s="177">
        <f>MATCH(A14,'Date Drivers'!A:A,0)</f>
        <v>13</v>
      </c>
      <c r="D15" s="177">
        <v>1</v>
      </c>
      <c r="E15" s="80" t="str">
        <f ca="1">IF(INDEX(INDIRECT($K$1&amp;":"&amp;$K$2),$C15,1)=0,"",INDEX(INDIRECT($K$1&amp;":"&amp;$K$2),$C15,1))</f>
        <v>RJ45 copper 100BASE-TX for configuration only</v>
      </c>
      <c r="F15" s="177" t="str">
        <f ca="1">IF(INDEX(INDIRECT($K$1&amp;":"&amp;$K$2),$C15,1)=0,"",INDEX(INDIRECT($K$1&amp;":"&amp;$K$2),$C15,2))</f>
        <v>C</v>
      </c>
      <c r="G15" s="176">
        <f ca="1">IF(INDEX(INDIRECT($K$1&amp;":"&amp;$K$2),$C15,1)=0,"",INDEX(INDIRECT($K$1&amp;":"&amp;$K$2),$C15,3))</f>
        <v>0</v>
      </c>
      <c r="H15" s="176" t="str">
        <f ca="1">IF(INDEX(INDIRECT($K$1&amp;":"&amp;$K$2),$C15,1)=0,"",INDEX(INDIRECT($K$1&amp;":"&amp;$K$2),$C15,4))</f>
        <v>Y</v>
      </c>
    </row>
    <row r="16" spans="1:11" x14ac:dyDescent="0.25">
      <c r="A16" s="177"/>
      <c r="B16" s="80"/>
      <c r="C16" s="195">
        <f>C15+1</f>
        <v>14</v>
      </c>
      <c r="D16" s="195">
        <f>D15+1</f>
        <v>2</v>
      </c>
      <c r="E16" s="80" t="str">
        <f ca="1">IF(INDEX(INDIRECT($K$1&amp;":"&amp;$K$2),$C16,1)=0,"",INDEX(INDIRECT($K$1&amp;":"&amp;$K$2),$C16,1))</f>
        <v>RJ45 copper 100BASE-TX for NTP server and configuration</v>
      </c>
      <c r="F16" s="177" t="str">
        <f ca="1">IF(INDEX(INDIRECT($K$1&amp;":"&amp;$K$2),$C16,1)=0,"",INDEX(INDIRECT($K$1&amp;":"&amp;$K$2),$C16,2))</f>
        <v>N</v>
      </c>
      <c r="G16" s="176">
        <f ca="1">IF(INDEX(INDIRECT($K$1&amp;":"&amp;$K$2),$C16,1)=0,"",INDEX(INDIRECT($K$1&amp;":"&amp;$K$2),$C16,3))</f>
        <v>0</v>
      </c>
      <c r="H16" s="176" t="str">
        <f ca="1">IF(INDEX(INDIRECT($K$1&amp;":"&amp;$K$2),$C16,1)=0,"",INDEX(INDIRECT($K$1&amp;":"&amp;$K$2),$C16,4))</f>
        <v>Y</v>
      </c>
    </row>
    <row r="17" spans="1:13" x14ac:dyDescent="0.25">
      <c r="A17" s="177"/>
      <c r="B17" s="80"/>
      <c r="C17" s="195">
        <f t="shared" ref="C17" si="2">C16+1</f>
        <v>15</v>
      </c>
      <c r="D17" s="195">
        <f>D16+1</f>
        <v>3</v>
      </c>
      <c r="E17" s="80" t="str">
        <f ca="1">IF(INDEX(INDIRECT($K$1&amp;":"&amp;$K$2),$C17,1)=0,"",INDEX(INDIRECT($K$1&amp;":"&amp;$K$2),$C17,1))</f>
        <v>RJ45 copper 100BASE-TX for PTP (IEEE 1588) server, NTP server and configuration</v>
      </c>
      <c r="F17" s="177" t="str">
        <f ca="1">IF(INDEX(INDIRECT($K$1&amp;":"&amp;$K$2),$C17,1)=0,"",INDEX(INDIRECT($K$1&amp;":"&amp;$K$2),$C17,2))</f>
        <v>P</v>
      </c>
      <c r="G17" s="176">
        <f ca="1">IF(INDEX(INDIRECT($K$1&amp;":"&amp;$K$2),$C17,1)=0,"",INDEX(INDIRECT($K$1&amp;":"&amp;$K$2),$C17,3))</f>
        <v>0</v>
      </c>
      <c r="H17" s="176" t="str">
        <f ca="1">IF(INDEX(INDIRECT($K$1&amp;":"&amp;$K$2),$C17,1)=0,"",INDEX(INDIRECT($K$1&amp;":"&amp;$K$2),$C17,4))</f>
        <v>Y</v>
      </c>
    </row>
    <row r="19" spans="1:13" x14ac:dyDescent="0.25">
      <c r="A19" s="170">
        <v>4</v>
      </c>
      <c r="B19" s="16" t="str">
        <f ca="1">INDIRECT("'Date Drivers'!B"&amp;C20)</f>
        <v>Ethernet Interface 3 and 4</v>
      </c>
      <c r="C19" s="194" t="s">
        <v>14</v>
      </c>
      <c r="D19" s="194">
        <f>MINA(D14,M19)</f>
        <v>2</v>
      </c>
      <c r="E19" s="19" t="str">
        <f ca="1">VLOOKUP($D19,$D20:$H22,2)</f>
        <v>RJ45 copper 100BASE-TX for NTP server and configuration</v>
      </c>
      <c r="F19" s="19" t="str">
        <f ca="1">VLOOKUP($D19,$D20:$H22,3)</f>
        <v>N</v>
      </c>
      <c r="G19" s="190">
        <f ca="1">VLOOKUP($D19,$D20:$H22,4)</f>
        <v>0</v>
      </c>
      <c r="H19" s="190" t="str">
        <f ca="1">VLOOKUP($D19,$D20:$H22,5)</f>
        <v>Y</v>
      </c>
      <c r="J19" s="267" t="s">
        <v>231</v>
      </c>
      <c r="K19" s="268"/>
      <c r="L19" s="269"/>
      <c r="M19" s="236">
        <v>2</v>
      </c>
    </row>
    <row r="20" spans="1:13" x14ac:dyDescent="0.25">
      <c r="A20" s="177"/>
      <c r="B20" s="80"/>
      <c r="C20" s="177">
        <f>MATCH(A19,'Date Drivers'!A:A,0)</f>
        <v>17</v>
      </c>
      <c r="D20" s="177">
        <v>1</v>
      </c>
      <c r="E20" s="80" t="str">
        <f ca="1">IF(INDEX(INDIRECT($K$1&amp;":"&amp;$K$2),$C20,1)=0,"",INDEX(INDIRECT($K$1&amp;":"&amp;$K$2),$C20,1))</f>
        <v>RJ45 copper 100BASE-TX for configuration only</v>
      </c>
      <c r="F20" s="177" t="str">
        <f ca="1">IF(INDEX(INDIRECT($K$1&amp;":"&amp;$K$2),$C20,1)=0,"",INDEX(INDIRECT($K$1&amp;":"&amp;$K$2),$C20,2))</f>
        <v>C</v>
      </c>
      <c r="G20" s="176">
        <f ca="1">IF(INDEX(INDIRECT($K$1&amp;":"&amp;$K$2),$C20,1)=0,"",INDEX(INDIRECT($K$1&amp;":"&amp;$K$2),$C20,3))</f>
        <v>0</v>
      </c>
      <c r="H20" s="176" t="str">
        <f ca="1">IF(INDEX(INDIRECT($K$1&amp;":"&amp;$K$2),$C20,1)=0,"",INDEX(INDIRECT($K$1&amp;":"&amp;$K$2),$C20,4))</f>
        <v>Y</v>
      </c>
      <c r="J20" s="270" t="str">
        <f ca="1">IF(INDEX(INDIRECT($K$1&amp;":"&amp;$K$2),$C20,1)=0,"",INDEX(INDIRECT($K$1&amp;":"&amp;$K$2),$C20,1))</f>
        <v>RJ45 copper 100BASE-TX for configuration only</v>
      </c>
      <c r="K20" s="270"/>
      <c r="L20" s="270"/>
    </row>
    <row r="21" spans="1:13" x14ac:dyDescent="0.25">
      <c r="A21" s="177"/>
      <c r="B21" s="80"/>
      <c r="C21" s="195">
        <f>C20+1</f>
        <v>18</v>
      </c>
      <c r="D21" s="195">
        <f>D20+1</f>
        <v>2</v>
      </c>
      <c r="E21" s="80" t="str">
        <f ca="1">IF(INDEX(INDIRECT($K$1&amp;":"&amp;$K$2),$C21,1)=0,"",INDEX(INDIRECT($K$1&amp;":"&amp;$K$2),$C21,1))</f>
        <v>RJ45 copper 100BASE-TX for NTP server and configuration</v>
      </c>
      <c r="F21" s="177" t="str">
        <f ca="1">IF(INDEX(INDIRECT($K$1&amp;":"&amp;$K$2),$C21,1)=0,"",INDEX(INDIRECT($K$1&amp;":"&amp;$K$2),$C21,2))</f>
        <v>N</v>
      </c>
      <c r="G21" s="176">
        <f ca="1">IF(INDEX(INDIRECT($K$1&amp;":"&amp;$K$2),$C21,1)=0,"",INDEX(INDIRECT($K$1&amp;":"&amp;$K$2),$C21,3))</f>
        <v>0</v>
      </c>
      <c r="H21" s="176" t="str">
        <f ca="1">IF(INDEX(INDIRECT($K$1&amp;":"&amp;$K$2),$C21,1)=0,"",INDEX(INDIRECT($K$1&amp;":"&amp;$K$2),$C21,4))</f>
        <v>Y</v>
      </c>
      <c r="J21" s="270" t="str">
        <f ca="1">IF($D$14&lt;=1,HLOOKUP(Language!$C$3,Language!$E$1:$Z489,68,FALSE),IF(INDEX(INDIRECT($K$1&amp;":"&amp;$K$2),$C21,1)=0,"",INDEX(INDIRECT($K$1&amp;":"&amp;$K$2),$C21,1)))</f>
        <v>RJ45 copper 100BASE-TX for NTP server and configuration</v>
      </c>
      <c r="K21" s="270"/>
      <c r="L21" s="270"/>
    </row>
    <row r="22" spans="1:13" x14ac:dyDescent="0.25">
      <c r="A22" s="177"/>
      <c r="B22" s="80"/>
      <c r="C22" s="195">
        <f t="shared" ref="C22" si="3">C21+1</f>
        <v>19</v>
      </c>
      <c r="D22" s="195">
        <f t="shared" ref="D22" si="4">D21+1</f>
        <v>3</v>
      </c>
      <c r="E22" s="80" t="str">
        <f ca="1">IF(INDEX(INDIRECT($K$1&amp;":"&amp;$K$2),$C22,1)=0,"",INDEX(INDIRECT($K$1&amp;":"&amp;$K$2),$C22,1))</f>
        <v>RJ45 copper 100BASE-TX for PTP (IEEE 1588) server, NTP server and configuration</v>
      </c>
      <c r="F22" s="177" t="str">
        <f ca="1">IF(INDEX(INDIRECT($K$1&amp;":"&amp;$K$2),$C22,1)=0,"",INDEX(INDIRECT($K$1&amp;":"&amp;$K$2),$C22,2))</f>
        <v>P</v>
      </c>
      <c r="G22" s="176">
        <f ca="1">IF(INDEX(INDIRECT($K$1&amp;":"&amp;$K$2),$C22,1)=0,"",INDEX(INDIRECT($K$1&amp;":"&amp;$K$2),$C22,3))</f>
        <v>0</v>
      </c>
      <c r="H22" s="176" t="str">
        <f ca="1">IF(INDEX(INDIRECT($K$1&amp;":"&amp;$K$2),$C22,1)=0,"",INDEX(INDIRECT($K$1&amp;":"&amp;$K$2),$C22,4))</f>
        <v>Y</v>
      </c>
      <c r="J22" s="270" t="str">
        <f ca="1">IF($D$14&lt;=2,HLOOKUP(Language!$C$3,Language!$E$1:$Z489,68,FALSE),IF(INDEX(INDIRECT($K$1&amp;":"&amp;$K$2),$C22,1)=0,"",INDEX(INDIRECT($K$1&amp;":"&amp;$K$2),$C22,1)))</f>
        <v>RJ45 copper 100BASE-TX for PTP (IEEE 1588) server, NTP server and configuration</v>
      </c>
      <c r="K22" s="270"/>
      <c r="L22" s="270"/>
    </row>
    <row r="24" spans="1:13" x14ac:dyDescent="0.25">
      <c r="A24" s="170">
        <v>5</v>
      </c>
      <c r="B24" s="16" t="str">
        <f ca="1">INDIRECT("'Date Drivers'!B"&amp;C25)</f>
        <v>Satellite constellations supported</v>
      </c>
      <c r="C24" s="194" t="s">
        <v>14</v>
      </c>
      <c r="D24" s="194">
        <v>1</v>
      </c>
      <c r="E24" s="19" t="str">
        <f ca="1">VLOOKUP($D24,$D25:$H26,2)</f>
        <v>GPS</v>
      </c>
      <c r="F24" s="19" t="str">
        <f ca="1">VLOOKUP($D24,$D25:$H26,3)</f>
        <v>A</v>
      </c>
      <c r="G24" s="190">
        <f ca="1">VLOOKUP($D24,$D25:$H26,4)</f>
        <v>0</v>
      </c>
      <c r="H24" s="190" t="str">
        <f ca="1">VLOOKUP($D24,$D25:$H26,5)</f>
        <v>Y</v>
      </c>
    </row>
    <row r="25" spans="1:13" x14ac:dyDescent="0.25">
      <c r="C25" s="177">
        <f>MATCH(A24,'Date Drivers'!A:A,0)</f>
        <v>21</v>
      </c>
      <c r="D25" s="177">
        <v>1</v>
      </c>
      <c r="E25" s="80" t="str">
        <f ca="1">IF(INDEX(INDIRECT($K$1&amp;":"&amp;$K$2),$C25,1)=0,"",INDEX(INDIRECT($K$1&amp;":"&amp;$K$2),$C25,1))</f>
        <v>GPS</v>
      </c>
      <c r="F25" s="177" t="str">
        <f ca="1">IF(INDEX(INDIRECT($K$1&amp;":"&amp;$K$2),$C25,1)=0,"",INDEX(INDIRECT($K$1&amp;":"&amp;$K$2),$C25,2))</f>
        <v>A</v>
      </c>
      <c r="G25" s="176">
        <f ca="1">IF(INDEX(INDIRECT($K$1&amp;":"&amp;$K$2),$C25,1)=0,"",INDEX(INDIRECT($K$1&amp;":"&amp;$K$2),$C25,3))</f>
        <v>0</v>
      </c>
      <c r="H25" s="176" t="str">
        <f ca="1">IF(INDEX(INDIRECT($K$1&amp;":"&amp;$K$2),$C25,1)=0,"",INDEX(INDIRECT($K$1&amp;":"&amp;$K$2),$C25,4))</f>
        <v>Y</v>
      </c>
    </row>
    <row r="26" spans="1:13" x14ac:dyDescent="0.25">
      <c r="C26" s="195">
        <f>C25+1</f>
        <v>22</v>
      </c>
      <c r="D26" s="195">
        <f>D25+1</f>
        <v>2</v>
      </c>
      <c r="E26" s="80" t="str">
        <f ca="1">IF(INDEX(INDIRECT($K$1&amp;":"&amp;$K$2),$C26,1)=0,"",INDEX(INDIRECT($K$1&amp;":"&amp;$K$2),$C26,1))</f>
        <v>GPS and GLONASS</v>
      </c>
      <c r="F26" s="177" t="str">
        <f ca="1">IF(INDEX(INDIRECT($K$1&amp;":"&amp;$K$2),$C26,1)=0,"",INDEX(INDIRECT($K$1&amp;":"&amp;$K$2),$C26,2))</f>
        <v>B</v>
      </c>
      <c r="G26" s="176">
        <f ca="1">IF(INDEX(INDIRECT($K$1&amp;":"&amp;$K$2),$C26,1)=0,"",INDEX(INDIRECT($K$1&amp;":"&amp;$K$2),$C26,3))</f>
        <v>0</v>
      </c>
      <c r="H26" s="176" t="str">
        <f ca="1">IF(INDEX(INDIRECT($K$1&amp;":"&amp;$K$2),$C26,1)=0,"",INDEX(INDIRECT($K$1&amp;":"&amp;$K$2),$C26,4))</f>
        <v>Y</v>
      </c>
    </row>
    <row r="28" spans="1:13" x14ac:dyDescent="0.25">
      <c r="A28" s="170">
        <v>6</v>
      </c>
      <c r="B28" s="16" t="str">
        <f ca="1">INDIRECT("'Date Drivers'!B"&amp;C29)</f>
        <v>Oscillator Type</v>
      </c>
      <c r="C28" s="194" t="s">
        <v>14</v>
      </c>
      <c r="D28" s="194">
        <v>1</v>
      </c>
      <c r="E28" s="19" t="str">
        <f ca="1">VLOOKUP($D28,$D29:$H30,2)</f>
        <v>TCXO</v>
      </c>
      <c r="F28" s="19">
        <f ca="1">VLOOKUP($D28,$D29:$H30,3)</f>
        <v>2</v>
      </c>
      <c r="G28" s="190">
        <f ca="1">VLOOKUP($D28,$D29:$H30,4)</f>
        <v>0</v>
      </c>
      <c r="H28" s="190" t="str">
        <f ca="1">VLOOKUP($D28,$D29:$H30,5)</f>
        <v>Y</v>
      </c>
    </row>
    <row r="29" spans="1:13" x14ac:dyDescent="0.25">
      <c r="C29" s="177">
        <f>MATCH(A28,'Date Drivers'!A:A,0)</f>
        <v>24</v>
      </c>
      <c r="D29" s="177">
        <v>1</v>
      </c>
      <c r="E29" s="80" t="str">
        <f ca="1">IF(INDEX(INDIRECT($K$1&amp;":"&amp;$K$2),$C29,1)=0,"",INDEX(INDIRECT($K$1&amp;":"&amp;$K$2),$C29,1))</f>
        <v>TCXO</v>
      </c>
      <c r="F29" s="177">
        <f ca="1">IF(INDEX(INDIRECT($K$1&amp;":"&amp;$K$2),$C29,1)=0,"",INDEX(INDIRECT($K$1&amp;":"&amp;$K$2),$C29,2))</f>
        <v>2</v>
      </c>
      <c r="G29" s="176">
        <f ca="1">IF(INDEX(INDIRECT($K$1&amp;":"&amp;$K$2),$C29,1)=0,"",INDEX(INDIRECT($K$1&amp;":"&amp;$K$2),$C29,3))</f>
        <v>0</v>
      </c>
      <c r="H29" s="176" t="str">
        <f ca="1">IF(INDEX(INDIRECT($K$1&amp;":"&amp;$K$2),$C29,1)=0,"",INDEX(INDIRECT($K$1&amp;":"&amp;$K$2),$C29,4))</f>
        <v>Y</v>
      </c>
    </row>
    <row r="30" spans="1:13" x14ac:dyDescent="0.25">
      <c r="C30" s="195">
        <f>C29+1</f>
        <v>25</v>
      </c>
      <c r="D30" s="195">
        <f>D29+1</f>
        <v>2</v>
      </c>
      <c r="E30" s="80" t="str">
        <f ca="1">IF(INDEX(INDIRECT($K$1&amp;":"&amp;$K$2),$C30,1)=0,"",INDEX(INDIRECT($K$1&amp;":"&amp;$K$2),$C30,1))</f>
        <v>OCXO</v>
      </c>
      <c r="F30" s="177">
        <f ca="1">IF(INDEX(INDIRECT($K$1&amp;":"&amp;$K$2),$C30,1)=0,"",INDEX(INDIRECT($K$1&amp;":"&amp;$K$2),$C30,2))</f>
        <v>3</v>
      </c>
      <c r="G30" s="176">
        <f ca="1">IF(INDEX(INDIRECT($K$1&amp;":"&amp;$K$2),$C30,1)=0,"",INDEX(INDIRECT($K$1&amp;":"&amp;$K$2),$C30,3))</f>
        <v>0</v>
      </c>
      <c r="H30" s="176" t="str">
        <f ca="1">IF(INDEX(INDIRECT($K$1&amp;":"&amp;$K$2),$C30,1)=0,"",INDEX(INDIRECT($K$1&amp;":"&amp;$K$2),$C30,4))</f>
        <v>N</v>
      </c>
    </row>
    <row r="32" spans="1:13" x14ac:dyDescent="0.25">
      <c r="A32" s="170">
        <v>7</v>
      </c>
      <c r="B32" s="16" t="str">
        <f ca="1">INDIRECT("'Date Drivers'!B"&amp;C33)</f>
        <v>Customization / Regionalisation</v>
      </c>
      <c r="C32" s="194" t="s">
        <v>14</v>
      </c>
      <c r="D32" s="194">
        <v>1</v>
      </c>
      <c r="E32" s="19" t="str">
        <f ca="1">VLOOKUP($D32,$D33:$H34,2)</f>
        <v>GE branding</v>
      </c>
      <c r="F32" s="19" t="str">
        <f ca="1">VLOOKUP($D32,$D33:$H34,3)</f>
        <v>C</v>
      </c>
      <c r="G32" s="190">
        <f ca="1">VLOOKUP($D32,$D33:$H34,4)</f>
        <v>0</v>
      </c>
      <c r="H32" s="190" t="str">
        <f ca="1">VLOOKUP($D32,$D33:$H34,5)</f>
        <v>Y</v>
      </c>
    </row>
    <row r="33" spans="1:8" x14ac:dyDescent="0.25">
      <c r="A33" s="177"/>
      <c r="C33" s="177">
        <f>MATCH(A32,'Date Drivers'!A:A,0)</f>
        <v>27</v>
      </c>
      <c r="D33" s="177">
        <v>1</v>
      </c>
      <c r="E33" s="80" t="str">
        <f ca="1">IF(INDEX(INDIRECT($K$1&amp;":"&amp;$K$2),$C33,1)=0,"",INDEX(INDIRECT($K$1&amp;":"&amp;$K$2),$C33,1))</f>
        <v>GE branding</v>
      </c>
      <c r="F33" s="177" t="str">
        <f ca="1">IF(INDEX(INDIRECT($K$1&amp;":"&amp;$K$2),$C33,1)=0,"",INDEX(INDIRECT($K$1&amp;":"&amp;$K$2),$C33,2))</f>
        <v>C</v>
      </c>
      <c r="G33" s="176">
        <f ca="1">IF(INDEX(INDIRECT($K$1&amp;":"&amp;$K$2),$C33,1)=0,"",INDEX(INDIRECT($K$1&amp;":"&amp;$K$2),$C33,3))</f>
        <v>0</v>
      </c>
      <c r="H33" s="176" t="str">
        <f ca="1">IF(INDEX(INDIRECT($K$1&amp;":"&amp;$K$2),$C33,1)=0,"",INDEX(INDIRECT($K$1&amp;":"&amp;$K$2),$C33,4))</f>
        <v>Y</v>
      </c>
    </row>
    <row r="34" spans="1:8" x14ac:dyDescent="0.25">
      <c r="A34" s="177"/>
      <c r="C34" s="177">
        <f>C33+1</f>
        <v>28</v>
      </c>
      <c r="D34" s="177">
        <f>D33+1</f>
        <v>2</v>
      </c>
      <c r="E34" s="80" t="str">
        <f ca="1">IF(INDEX(INDIRECT($K$1&amp;":"&amp;$K$2),$C34,1)=0,"",INDEX(INDIRECT($K$1&amp;":"&amp;$K$2),$C34,1))</f>
        <v/>
      </c>
      <c r="F34" s="177" t="str">
        <f ca="1">IF(INDEX(INDIRECT($K$1&amp;":"&amp;$K$2),$C34,1)=0,"",INDEX(INDIRECT($K$1&amp;":"&amp;$K$2),$C34,2))</f>
        <v/>
      </c>
      <c r="G34" s="176" t="str">
        <f ca="1">IF(INDEX(INDIRECT($K$1&amp;":"&amp;$K$2),$C34,1)=0,"",INDEX(INDIRECT($K$1&amp;":"&amp;$K$2),$C34,3))</f>
        <v/>
      </c>
      <c r="H34" s="176" t="str">
        <f ca="1">IF(INDEX(INDIRECT($K$1&amp;":"&amp;$K$2),$C34,1)=0,"",INDEX(INDIRECT($K$1&amp;":"&amp;$K$2),$C34,4))</f>
        <v/>
      </c>
    </row>
    <row r="36" spans="1:8" x14ac:dyDescent="0.25">
      <c r="A36" s="170">
        <v>8</v>
      </c>
      <c r="B36" s="16" t="str">
        <f ca="1">INDIRECT("'Date Drivers'!B"&amp;C37)</f>
        <v>Firmware Version</v>
      </c>
      <c r="C36" s="194" t="s">
        <v>14</v>
      </c>
      <c r="D36" s="194">
        <v>1</v>
      </c>
      <c r="E36" s="19" t="str">
        <f ca="1">VLOOKUP($D36,$D37:$H38,2)</f>
        <v>Latest available firmware - 08</v>
      </c>
      <c r="F36" s="19" t="str">
        <f ca="1">VLOOKUP($D36,$D37:$H38,3)</f>
        <v>08</v>
      </c>
      <c r="G36" s="190">
        <f ca="1">VLOOKUP($D36,$D37:$H38,4)</f>
        <v>0</v>
      </c>
      <c r="H36" s="190" t="str">
        <f ca="1">VLOOKUP($D36,$D37:$H38,5)</f>
        <v>Y</v>
      </c>
    </row>
    <row r="37" spans="1:8" x14ac:dyDescent="0.25">
      <c r="C37" s="177">
        <f>MATCH(A36,'Date Drivers'!A:A,0)</f>
        <v>30</v>
      </c>
      <c r="D37" s="177">
        <v>1</v>
      </c>
      <c r="E37" s="80" t="str">
        <f ca="1">IF(INDEX(INDIRECT($K$1&amp;":"&amp;$K$2),$C37,1)=0,"",INDEX(INDIRECT($K$1&amp;":"&amp;$K$2),$C37,1))</f>
        <v>Latest available firmware - 08</v>
      </c>
      <c r="F37" s="177" t="str">
        <f ca="1">IF(INDEX(INDIRECT($K$1&amp;":"&amp;$K$2),$C37,1)=0,"",INDEX(INDIRECT($K$1&amp;":"&amp;$K$2),$C37,2))</f>
        <v>08</v>
      </c>
      <c r="G37" s="176">
        <f ca="1">IF(INDEX(INDIRECT($K$1&amp;":"&amp;$K$2),$C37,1)=0,"",INDEX(INDIRECT($K$1&amp;":"&amp;$K$2),$C37,3))</f>
        <v>0</v>
      </c>
      <c r="H37" s="176" t="str">
        <f ca="1">IF(INDEX(INDIRECT($K$1&amp;":"&amp;$K$2),$C37,1)=0,"",INDEX(INDIRECT($K$1&amp;":"&amp;$K$2),$C37,4))</f>
        <v>Y</v>
      </c>
    </row>
    <row r="38" spans="1:8" x14ac:dyDescent="0.25">
      <c r="C38" s="195">
        <f>C37+1</f>
        <v>31</v>
      </c>
      <c r="D38" s="195">
        <f>D37+1</f>
        <v>2</v>
      </c>
      <c r="E38" s="80" t="str">
        <f ca="1">IF(INDEX(INDIRECT($K$1&amp;":"&amp;$K$2),$C38,1)=0,"",INDEX(INDIRECT($K$1&amp;":"&amp;$K$2),$C38,1))</f>
        <v>Firmware version number - 07 (withdraw)</v>
      </c>
      <c r="F38" s="177" t="str">
        <f ca="1">IF(INDEX(INDIRECT($K$1&amp;":"&amp;$K$2),$C38,1)=0,"",INDEX(INDIRECT($K$1&amp;":"&amp;$K$2),$C38,2))</f>
        <v>07</v>
      </c>
      <c r="G38" s="176">
        <f ca="1">IF(INDEX(INDIRECT($K$1&amp;":"&amp;$K$2),$C38,1)=0,"",INDEX(INDIRECT($K$1&amp;":"&amp;$K$2),$C38,3))</f>
        <v>0</v>
      </c>
      <c r="H38" s="176" t="str">
        <f ca="1">IF(INDEX(INDIRECT($K$1&amp;":"&amp;$K$2),$C38,1)=0,"",INDEX(INDIRECT($K$1&amp;":"&amp;$K$2),$C38,4))</f>
        <v>N</v>
      </c>
    </row>
    <row r="40" spans="1:8" x14ac:dyDescent="0.25">
      <c r="A40" s="170">
        <v>9</v>
      </c>
      <c r="B40" s="16" t="str">
        <f ca="1">INDIRECT("'Date Drivers'!B"&amp;C41)</f>
        <v>Hardware Design Suffix</v>
      </c>
      <c r="C40" s="194" t="s">
        <v>14</v>
      </c>
      <c r="D40" s="194">
        <v>1</v>
      </c>
      <c r="E40" s="19" t="str">
        <f ca="1">VLOOKUP($D40,$D41:$H42,2)</f>
        <v>GNSS version</v>
      </c>
      <c r="F40" s="19" t="str">
        <f ca="1">VLOOKUP($D40,$D41:$H42,3)</f>
        <v>B</v>
      </c>
      <c r="G40" s="190">
        <f ca="1">VLOOKUP($D40,$D41:$H42,4)</f>
        <v>0</v>
      </c>
      <c r="H40" s="190" t="str">
        <f ca="1">VLOOKUP($D40,$D41:$H42,5)</f>
        <v>Y</v>
      </c>
    </row>
    <row r="41" spans="1:8" x14ac:dyDescent="0.25">
      <c r="A41" s="177"/>
      <c r="C41" s="177">
        <f>MATCH(A40,'Date Drivers'!A:A,0)</f>
        <v>33</v>
      </c>
      <c r="D41" s="177">
        <v>1</v>
      </c>
      <c r="E41" s="80" t="str">
        <f t="shared" ref="E41:E42" ca="1" si="5">IF(INDEX(INDIRECT($K$1&amp;":"&amp;$K$2),$C41,1)=0,"",INDEX(INDIRECT($K$1&amp;":"&amp;$K$2),$C41,1))</f>
        <v>GNSS version</v>
      </c>
      <c r="F41" s="177" t="str">
        <f t="shared" ref="F41:F42" ca="1" si="6">IF(INDEX(INDIRECT($K$1&amp;":"&amp;$K$2),$C41,1)=0,"",INDEX(INDIRECT($K$1&amp;":"&amp;$K$2),$C41,2))</f>
        <v>B</v>
      </c>
      <c r="G41" s="176">
        <f t="shared" ref="G41:G42" ca="1" si="7">IF(INDEX(INDIRECT($K$1&amp;":"&amp;$K$2),$C41,1)=0,"",INDEX(INDIRECT($K$1&amp;":"&amp;$K$2),$C41,3))</f>
        <v>0</v>
      </c>
      <c r="H41" s="176" t="str">
        <f t="shared" ref="H41:H42" ca="1" si="8">IF(INDEX(INDIRECT($K$1&amp;":"&amp;$K$2),$C41,1)=0,"",INDEX(INDIRECT($K$1&amp;":"&amp;$K$2),$C41,4))</f>
        <v>Y</v>
      </c>
    </row>
    <row r="42" spans="1:8" x14ac:dyDescent="0.25">
      <c r="A42" s="177"/>
      <c r="C42" s="195">
        <f>C41+1</f>
        <v>34</v>
      </c>
      <c r="D42" s="195">
        <f>D41+1</f>
        <v>2</v>
      </c>
      <c r="E42" s="80" t="str">
        <f t="shared" ca="1" si="5"/>
        <v/>
      </c>
      <c r="F42" s="177" t="str">
        <f t="shared" ca="1" si="6"/>
        <v/>
      </c>
      <c r="G42" s="176" t="str">
        <f t="shared" ca="1" si="7"/>
        <v/>
      </c>
      <c r="H42" s="176" t="str">
        <f t="shared" ca="1" si="8"/>
        <v/>
      </c>
    </row>
    <row r="44" spans="1:8" x14ac:dyDescent="0.25">
      <c r="A44" s="170">
        <v>10</v>
      </c>
      <c r="B44" s="16" t="str">
        <f ca="1">INDIRECT("'Date Drivers'!B"&amp;C45)</f>
        <v>GPS Antenna</v>
      </c>
      <c r="C44" s="194" t="s">
        <v>14</v>
      </c>
      <c r="D44" s="194">
        <v>1</v>
      </c>
      <c r="E44" s="19" t="str">
        <f ca="1">VLOOKUP($D44,$D45:$H46,2)</f>
        <v>Without antenna</v>
      </c>
      <c r="F44" s="19">
        <f ca="1">VLOOKUP($D44,$D45:$H46,3)</f>
        <v>0</v>
      </c>
      <c r="G44" s="190">
        <f ca="1">VLOOKUP($D44,$D45:$H46,4)</f>
        <v>0</v>
      </c>
      <c r="H44" s="190" t="str">
        <f ca="1">VLOOKUP($D44,$D45:$H46,5)</f>
        <v>Y</v>
      </c>
    </row>
    <row r="45" spans="1:8" x14ac:dyDescent="0.25">
      <c r="C45" s="177">
        <f>MATCH(A44,'Date Drivers'!A:A,0)</f>
        <v>35</v>
      </c>
      <c r="D45" s="177">
        <v>1</v>
      </c>
      <c r="E45" s="80" t="str">
        <f ca="1">IF(INDEX(INDIRECT($K$1&amp;":"&amp;$K$2),$C45,1)=0,"",INDEX(INDIRECT($K$1&amp;":"&amp;$K$2),$C45,1))</f>
        <v>Without antenna</v>
      </c>
      <c r="F45" s="177">
        <f ca="1">IF(INDEX(INDIRECT($K$1&amp;":"&amp;$K$2),$C45,1)=0,"",INDEX(INDIRECT($K$1&amp;":"&amp;$K$2),$C45,2))</f>
        <v>0</v>
      </c>
      <c r="G45" s="176">
        <f ca="1">IF(INDEX(INDIRECT($K$1&amp;":"&amp;$K$2),$C45,1)=0,"",INDEX(INDIRECT($K$1&amp;":"&amp;$K$2),$C45,3))</f>
        <v>0</v>
      </c>
      <c r="H45" s="176" t="str">
        <f ca="1">IF(INDEX(INDIRECT($K$1&amp;":"&amp;$K$2),$C45,1)=0,"",INDEX(INDIRECT($K$1&amp;":"&amp;$K$2),$C45,4))</f>
        <v>Y</v>
      </c>
    </row>
    <row r="46" spans="1:8" x14ac:dyDescent="0.25">
      <c r="C46" s="195">
        <f>C45+1</f>
        <v>36</v>
      </c>
      <c r="D46" s="195">
        <f>D45+1</f>
        <v>2</v>
      </c>
      <c r="E46" s="80" t="str">
        <f ca="1">IF(INDEX(INDIRECT($K$1&amp;":"&amp;$K$2),$C46,1)=0,"",INDEX(INDIRECT($K$1&amp;":"&amp;$K$2),$C46,1))</f>
        <v>3.3V TNC Female active GNSS antenna</v>
      </c>
      <c r="F46" s="177">
        <f ca="1">IF(INDEX(INDIRECT($K$1&amp;":"&amp;$K$2),$C46,1)=0,"",INDEX(INDIRECT($K$1&amp;":"&amp;$K$2),$C46,2))</f>
        <v>2</v>
      </c>
      <c r="G46" s="176">
        <f ca="1">IF(INDEX(INDIRECT($K$1&amp;":"&amp;$K$2),$C46,1)=0,"",INDEX(INDIRECT($K$1&amp;":"&amp;$K$2),$C46,3))</f>
        <v>0</v>
      </c>
      <c r="H46" s="176" t="str">
        <f ca="1">IF(INDEX(INDIRECT($K$1&amp;":"&amp;$K$2),$C46,1)=0,"",INDEX(INDIRECT($K$1&amp;":"&amp;$K$2),$C46,4))</f>
        <v>Y</v>
      </c>
    </row>
    <row r="47" spans="1:8" x14ac:dyDescent="0.25">
      <c r="C47" s="195"/>
      <c r="D47" s="195"/>
      <c r="E47" s="80"/>
      <c r="F47" s="177"/>
      <c r="G47" s="176"/>
      <c r="H47" s="176"/>
    </row>
    <row r="48" spans="1:8" x14ac:dyDescent="0.25">
      <c r="A48" s="170">
        <v>11</v>
      </c>
      <c r="B48" s="16" t="str">
        <f ca="1">INDIRECT("'Date Drivers'!B"&amp;C49)</f>
        <v>Antenna Cable</v>
      </c>
      <c r="C48" s="194" t="s">
        <v>14</v>
      </c>
      <c r="D48" s="194">
        <v>1</v>
      </c>
      <c r="E48" s="19" t="str">
        <f ca="1">VLOOKUP($D48,$D49:$H55,2)</f>
        <v>No cable</v>
      </c>
      <c r="F48" s="19">
        <f ca="1">VLOOKUP($D48,$D49:$H55,3)</f>
        <v>0</v>
      </c>
      <c r="G48" s="190">
        <f ca="1">VLOOKUP($D48,$D49:$H55,4)</f>
        <v>0</v>
      </c>
      <c r="H48" s="190" t="str">
        <f ca="1">VLOOKUP($D48,$D49:$H55,5)</f>
        <v>Y</v>
      </c>
    </row>
    <row r="49" spans="1:8" x14ac:dyDescent="0.25">
      <c r="C49" s="177">
        <f>MATCH(A48,'Date Drivers'!A:A,0)</f>
        <v>38</v>
      </c>
      <c r="D49" s="177">
        <v>1</v>
      </c>
      <c r="E49" s="80" t="str">
        <f ca="1">IF(INDEX(INDIRECT($K$1&amp;":"&amp;$K$2),$C49,1)=0,"",INDEX(INDIRECT($K$1&amp;":"&amp;$K$2),$C49,1))</f>
        <v>No cable</v>
      </c>
      <c r="F49" s="177">
        <f ca="1">IF(INDEX(INDIRECT($K$1&amp;":"&amp;$K$2),$C49,1)=0,"",INDEX(INDIRECT($K$1&amp;":"&amp;$K$2),$C49,2))</f>
        <v>0</v>
      </c>
      <c r="G49" s="176">
        <f ca="1">IF(INDEX(INDIRECT($K$1&amp;":"&amp;$K$2),$C49,1)=0,"",INDEX(INDIRECT($K$1&amp;":"&amp;$K$2),$C49,3))</f>
        <v>0</v>
      </c>
      <c r="H49" s="176" t="str">
        <f ca="1">IF(INDEX(INDIRECT($K$1&amp;":"&amp;$K$2),$C49,1)=0,"",INDEX(INDIRECT($K$1&amp;":"&amp;$K$2),$C49,4))</f>
        <v>Y</v>
      </c>
    </row>
    <row r="50" spans="1:8" x14ac:dyDescent="0.25">
      <c r="C50" s="195">
        <f>C49+1</f>
        <v>39</v>
      </c>
      <c r="D50" s="195">
        <f>D49+1</f>
        <v>2</v>
      </c>
      <c r="E50" s="80" t="str">
        <f ca="1">IF(INDEX(INDIRECT($K$1&amp;":"&amp;$K$2),$C50,1)=0,"",INDEX(INDIRECT($K$1&amp;":"&amp;$K$2),$C50,1))</f>
        <v>25 m (82 ft) TNC Male to BNC Male (Attennuation &lt; 0.5 dB/m @ 1500 MHZ)</v>
      </c>
      <c r="F50" s="177">
        <f ca="1">IF(INDEX(INDIRECT($K$1&amp;":"&amp;$K$2),$C50,1)=0,"",INDEX(INDIRECT($K$1&amp;":"&amp;$K$2),$C50,2))</f>
        <v>2</v>
      </c>
      <c r="G50" s="176">
        <f ca="1">IF(INDEX(INDIRECT($K$1&amp;":"&amp;$K$2),$C50,1)=0,"",INDEX(INDIRECT($K$1&amp;":"&amp;$K$2),$C50,3))</f>
        <v>0</v>
      </c>
      <c r="H50" s="176" t="str">
        <f ca="1">IF(INDEX(INDIRECT($K$1&amp;":"&amp;$K$2),$C50,1)=0,"",INDEX(INDIRECT($K$1&amp;":"&amp;$K$2),$C50,4))</f>
        <v>Y</v>
      </c>
    </row>
    <row r="51" spans="1:8" x14ac:dyDescent="0.25">
      <c r="C51" s="195">
        <f t="shared" ref="C51:C55" si="9">C50+1</f>
        <v>40</v>
      </c>
      <c r="D51" s="195">
        <f t="shared" ref="D51:D55" si="10">D50+1</f>
        <v>3</v>
      </c>
      <c r="E51" s="80" t="str">
        <f t="shared" ref="E51:E55" ca="1" si="11">IF(INDEX(INDIRECT($K$1&amp;":"&amp;$K$2),$C51,1)=0,"",INDEX(INDIRECT($K$1&amp;":"&amp;$K$2),$C51,1))</f>
        <v>40 m (131 ft) TNC Male to BNC Male (Attennuation &lt; 0.5 dB/m @ 1500 MHZ)</v>
      </c>
      <c r="F51" s="177">
        <f t="shared" ref="F51:F55" ca="1" si="12">IF(INDEX(INDIRECT($K$1&amp;":"&amp;$K$2),$C51,1)=0,"",INDEX(INDIRECT($K$1&amp;":"&amp;$K$2),$C51,2))</f>
        <v>3</v>
      </c>
      <c r="G51" s="176">
        <f t="shared" ref="G51:G55" ca="1" si="13">IF(INDEX(INDIRECT($K$1&amp;":"&amp;$K$2),$C51,1)=0,"",INDEX(INDIRECT($K$1&amp;":"&amp;$K$2),$C51,3))</f>
        <v>0</v>
      </c>
      <c r="H51" s="176" t="str">
        <f t="shared" ref="H51:H55" ca="1" si="14">IF(INDEX(INDIRECT($K$1&amp;":"&amp;$K$2),$C51,1)=0,"",INDEX(INDIRECT($K$1&amp;":"&amp;$K$2),$C51,4))</f>
        <v>Y</v>
      </c>
    </row>
    <row r="52" spans="1:8" x14ac:dyDescent="0.25">
      <c r="C52" s="195">
        <f t="shared" si="9"/>
        <v>41</v>
      </c>
      <c r="D52" s="195">
        <f t="shared" si="10"/>
        <v>4</v>
      </c>
      <c r="E52" s="3" t="str">
        <f t="shared" ca="1" si="11"/>
        <v>100 m (328 ft) TNC Male to BNC Male (Attennuation &lt; 0.2 dB/m @ 1500 MHZ)</v>
      </c>
      <c r="F52" s="9">
        <f t="shared" ca="1" si="12"/>
        <v>5</v>
      </c>
      <c r="G52" s="15">
        <f t="shared" ca="1" si="13"/>
        <v>0</v>
      </c>
      <c r="H52" s="15" t="str">
        <f t="shared" ca="1" si="14"/>
        <v>Y</v>
      </c>
    </row>
    <row r="53" spans="1:8" x14ac:dyDescent="0.25">
      <c r="C53" s="195">
        <f t="shared" si="9"/>
        <v>42</v>
      </c>
      <c r="D53" s="195">
        <f t="shared" si="10"/>
        <v>5</v>
      </c>
      <c r="E53" s="3" t="str">
        <f t="shared" ca="1" si="11"/>
        <v/>
      </c>
      <c r="F53" s="9" t="str">
        <f t="shared" ca="1" si="12"/>
        <v/>
      </c>
      <c r="G53" s="15" t="str">
        <f t="shared" ca="1" si="13"/>
        <v/>
      </c>
      <c r="H53" s="15" t="str">
        <f t="shared" ca="1" si="14"/>
        <v/>
      </c>
    </row>
    <row r="54" spans="1:8" x14ac:dyDescent="0.25">
      <c r="C54" s="195">
        <f t="shared" si="9"/>
        <v>43</v>
      </c>
      <c r="D54" s="195">
        <f t="shared" si="10"/>
        <v>6</v>
      </c>
      <c r="E54" s="3" t="str">
        <f t="shared" ca="1" si="11"/>
        <v/>
      </c>
      <c r="F54" s="9" t="str">
        <f t="shared" ca="1" si="12"/>
        <v/>
      </c>
      <c r="G54" s="15" t="str">
        <f t="shared" ca="1" si="13"/>
        <v/>
      </c>
      <c r="H54" s="15" t="str">
        <f t="shared" ca="1" si="14"/>
        <v/>
      </c>
    </row>
    <row r="55" spans="1:8" x14ac:dyDescent="0.25">
      <c r="C55" s="195">
        <f t="shared" si="9"/>
        <v>44</v>
      </c>
      <c r="D55" s="195">
        <f t="shared" si="10"/>
        <v>7</v>
      </c>
      <c r="E55" s="3" t="str">
        <f t="shared" ca="1" si="11"/>
        <v/>
      </c>
      <c r="F55" s="9" t="str">
        <f t="shared" ca="1" si="12"/>
        <v/>
      </c>
      <c r="G55" s="15" t="str">
        <f t="shared" ca="1" si="13"/>
        <v/>
      </c>
      <c r="H55" s="15" t="str">
        <f t="shared" ca="1" si="14"/>
        <v/>
      </c>
    </row>
    <row r="56" spans="1:8" x14ac:dyDescent="0.25">
      <c r="A56" s="170">
        <v>12</v>
      </c>
      <c r="B56" s="16" t="str">
        <f ca="1">INDIRECT("'Date Drivers'!B"&amp;C57)</f>
        <v>Surge Arrester</v>
      </c>
      <c r="C56" s="194" t="s">
        <v>14</v>
      </c>
      <c r="D56" s="194">
        <v>1</v>
      </c>
      <c r="E56" s="19" t="str">
        <f ca="1">VLOOKUP($D56,$D57:$H58,2)</f>
        <v>Without surge arrester</v>
      </c>
      <c r="F56" s="19">
        <f ca="1">VLOOKUP($D56,$D57:$H58,3)</f>
        <v>0</v>
      </c>
      <c r="G56" s="190">
        <f ca="1">VLOOKUP($D56,$D57:$H58,4)</f>
        <v>0</v>
      </c>
      <c r="H56" s="190" t="str">
        <f ca="1">VLOOKUP($D56,$D57:$H58,5)</f>
        <v>Y</v>
      </c>
    </row>
    <row r="57" spans="1:8" x14ac:dyDescent="0.25">
      <c r="C57" s="177">
        <f>MATCH(A56,'Date Drivers'!A:A,0)</f>
        <v>45</v>
      </c>
      <c r="D57" s="177">
        <v>1</v>
      </c>
      <c r="E57" s="80" t="str">
        <f ca="1">IF(INDEX(INDIRECT($K$1&amp;":"&amp;$K$2),$C57,1)=0,"",INDEX(INDIRECT($K$1&amp;":"&amp;$K$2),$C57,1))</f>
        <v>Without surge arrester</v>
      </c>
      <c r="F57" s="177">
        <f ca="1">IF(INDEX(INDIRECT($K$1&amp;":"&amp;$K$2),$C57,1)=0,"",INDEX(INDIRECT($K$1&amp;":"&amp;$K$2),$C57,2))</f>
        <v>0</v>
      </c>
      <c r="G57" s="176">
        <f ca="1">IF(INDEX(INDIRECT($K$1&amp;":"&amp;$K$2),$C57,1)=0,"",INDEX(INDIRECT($K$1&amp;":"&amp;$K$2),$C57,3))</f>
        <v>0</v>
      </c>
      <c r="H57" s="176" t="str">
        <f ca="1">IF(INDEX(INDIRECT($K$1&amp;":"&amp;$K$2),$C57,1)=0,"",INDEX(INDIRECT($K$1&amp;":"&amp;$K$2),$C57,4))</f>
        <v>Y</v>
      </c>
    </row>
    <row r="58" spans="1:8" x14ac:dyDescent="0.25">
      <c r="C58" s="195">
        <f>C57+1</f>
        <v>46</v>
      </c>
      <c r="D58" s="195">
        <f>D57+1</f>
        <v>2</v>
      </c>
      <c r="E58" s="80" t="str">
        <f ca="1">IF(INDEX(INDIRECT($K$1&amp;":"&amp;$K$2),$C58,1)=0,"",INDEX(INDIRECT($K$1&amp;":"&amp;$K$2),$C58,1))</f>
        <v>10 kA, 50 Ohms, BNC-type connector Surge Arrester for 0-2000 MHz</v>
      </c>
      <c r="F58" s="177">
        <f ca="1">IF(INDEX(INDIRECT($K$1&amp;":"&amp;$K$2),$C58,1)=0,"",INDEX(INDIRECT($K$1&amp;":"&amp;$K$2),$C58,2))</f>
        <v>1</v>
      </c>
      <c r="G58" s="176">
        <f ca="1">IF(INDEX(INDIRECT($K$1&amp;":"&amp;$K$2),$C58,1)=0,"",INDEX(INDIRECT($K$1&amp;":"&amp;$K$2),$C58,3))</f>
        <v>0</v>
      </c>
      <c r="H58" s="176" t="str">
        <f ca="1">IF(INDEX(INDIRECT($K$1&amp;":"&amp;$K$2),$C58,1)=0,"",INDEX(INDIRECT($K$1&amp;":"&amp;$K$2),$C58,4))</f>
        <v>Y</v>
      </c>
    </row>
    <row r="59" spans="1:8" x14ac:dyDescent="0.25">
      <c r="C59" s="195"/>
      <c r="D59" s="195"/>
      <c r="E59" s="80"/>
      <c r="F59" s="177"/>
      <c r="G59" s="176"/>
      <c r="H59" s="176"/>
    </row>
  </sheetData>
  <mergeCells count="4">
    <mergeCell ref="J19:L19"/>
    <mergeCell ref="J20:L20"/>
    <mergeCell ref="J21:L21"/>
    <mergeCell ref="J22:L22"/>
  </mergeCells>
  <phoneticPr fontId="19" type="noConversion"/>
  <pageMargins left="0.7" right="0.7" top="0.75" bottom="0.75" header="0.3" footer="0.3"/>
  <pageSetup paperSize="9" orientation="portrait" r:id="rId1"/>
  <ignoredErrors>
    <ignoredError sqref="E56:H5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D47"/>
  <sheetViews>
    <sheetView topLeftCell="S1" workbookViewId="0">
      <selection activeCell="AA43" sqref="AA43:AD43"/>
    </sheetView>
  </sheetViews>
  <sheetFormatPr defaultColWidth="9.1796875" defaultRowHeight="11.5" x14ac:dyDescent="0.25"/>
  <cols>
    <col min="1" max="1" width="9.1796875" style="177"/>
    <col min="2" max="2" width="34" style="3" bestFit="1" customWidth="1"/>
    <col min="3" max="3" width="72.54296875" style="176" bestFit="1" customWidth="1"/>
    <col min="4" max="6" width="10.7265625" style="176" customWidth="1"/>
    <col min="7" max="7" width="72.54296875" style="176" bestFit="1" customWidth="1"/>
    <col min="8" max="10" width="10.7265625" style="176" customWidth="1"/>
    <col min="11" max="11" width="72.54296875" style="176" bestFit="1" customWidth="1"/>
    <col min="12" max="14" width="10.7265625" style="176" customWidth="1"/>
    <col min="15" max="15" width="72.54296875" style="176" bestFit="1" customWidth="1"/>
    <col min="16" max="18" width="10.7265625" style="176" customWidth="1"/>
    <col min="19" max="19" width="68.26953125" style="3" bestFit="1" customWidth="1"/>
    <col min="20" max="22" width="9.1796875" style="3"/>
    <col min="23" max="23" width="68.26953125" style="3" bestFit="1" customWidth="1"/>
    <col min="24" max="26" width="9.1796875" style="3"/>
    <col min="27" max="27" width="68.26953125" style="3" bestFit="1" customWidth="1"/>
    <col min="28" max="16384" width="9.1796875" style="3"/>
  </cols>
  <sheetData>
    <row r="1" spans="1:30" x14ac:dyDescent="0.25">
      <c r="A1" s="161"/>
      <c r="B1" s="162" t="s">
        <v>126</v>
      </c>
      <c r="C1" s="163">
        <f>Database!$E$1</f>
        <v>45238</v>
      </c>
      <c r="D1" s="163"/>
      <c r="E1" s="163"/>
      <c r="F1" s="163"/>
      <c r="G1" s="163">
        <f>Database!$E$1</f>
        <v>45238</v>
      </c>
      <c r="H1" s="163"/>
      <c r="I1" s="163"/>
      <c r="J1" s="163"/>
      <c r="K1" s="163">
        <f>Database!$E$1</f>
        <v>45238</v>
      </c>
      <c r="L1" s="163"/>
      <c r="M1" s="163"/>
      <c r="N1" s="163"/>
      <c r="O1" s="163">
        <f>Database!$E$1</f>
        <v>45238</v>
      </c>
      <c r="P1" s="163"/>
      <c r="Q1" s="163"/>
      <c r="R1" s="163"/>
      <c r="S1" s="163">
        <f>Database!$E$1</f>
        <v>45238</v>
      </c>
      <c r="T1" s="163"/>
      <c r="U1" s="163"/>
      <c r="V1" s="163"/>
      <c r="W1" s="163">
        <f>Database!$E$1</f>
        <v>45238</v>
      </c>
      <c r="X1" s="163"/>
      <c r="Y1" s="163"/>
      <c r="Z1" s="163"/>
      <c r="AA1" s="163">
        <f>Database!$E$1</f>
        <v>45238</v>
      </c>
      <c r="AB1" s="163"/>
      <c r="AC1" s="163"/>
      <c r="AD1" s="163"/>
    </row>
    <row r="2" spans="1:30" x14ac:dyDescent="0.25">
      <c r="A2" s="161"/>
      <c r="B2" s="162" t="s">
        <v>127</v>
      </c>
      <c r="C2" s="164">
        <v>42443</v>
      </c>
      <c r="D2" s="165"/>
      <c r="E2" s="165"/>
      <c r="F2" s="165"/>
      <c r="G2" s="164">
        <v>42494</v>
      </c>
      <c r="H2" s="165"/>
      <c r="I2" s="165"/>
      <c r="J2" s="165"/>
      <c r="K2" s="164">
        <v>42555</v>
      </c>
      <c r="L2" s="165"/>
      <c r="M2" s="165"/>
      <c r="N2" s="165"/>
      <c r="O2" s="164">
        <v>42650</v>
      </c>
      <c r="P2" s="165"/>
      <c r="Q2" s="165"/>
      <c r="R2" s="165"/>
      <c r="S2" s="164">
        <v>42800</v>
      </c>
      <c r="T2" s="165"/>
      <c r="U2" s="165"/>
      <c r="V2" s="165"/>
      <c r="W2" s="164">
        <v>43371</v>
      </c>
      <c r="X2" s="165"/>
      <c r="Y2" s="165"/>
      <c r="Z2" s="165"/>
      <c r="AA2" s="164">
        <v>45238</v>
      </c>
      <c r="AB2" s="165"/>
      <c r="AC2" s="165"/>
      <c r="AD2" s="165"/>
    </row>
    <row r="3" spans="1:30" x14ac:dyDescent="0.25">
      <c r="A3" s="166" t="s">
        <v>128</v>
      </c>
      <c r="B3" s="167" t="s">
        <v>129</v>
      </c>
      <c r="C3" s="168" t="s">
        <v>130</v>
      </c>
      <c r="D3" s="168" t="s">
        <v>131</v>
      </c>
      <c r="E3" s="168" t="s">
        <v>132</v>
      </c>
      <c r="F3" s="169" t="s">
        <v>133</v>
      </c>
      <c r="G3" s="168" t="s">
        <v>130</v>
      </c>
      <c r="H3" s="168" t="s">
        <v>131</v>
      </c>
      <c r="I3" s="168" t="s">
        <v>132</v>
      </c>
      <c r="J3" s="169" t="s">
        <v>133</v>
      </c>
      <c r="K3" s="168" t="s">
        <v>130</v>
      </c>
      <c r="L3" s="168" t="s">
        <v>131</v>
      </c>
      <c r="M3" s="168" t="s">
        <v>132</v>
      </c>
      <c r="N3" s="169" t="s">
        <v>133</v>
      </c>
      <c r="O3" s="168" t="s">
        <v>130</v>
      </c>
      <c r="P3" s="168" t="s">
        <v>131</v>
      </c>
      <c r="Q3" s="168" t="s">
        <v>132</v>
      </c>
      <c r="R3" s="169" t="s">
        <v>133</v>
      </c>
      <c r="S3" s="168" t="s">
        <v>130</v>
      </c>
      <c r="T3" s="168" t="s">
        <v>131</v>
      </c>
      <c r="U3" s="168" t="s">
        <v>132</v>
      </c>
      <c r="V3" s="169" t="s">
        <v>133</v>
      </c>
      <c r="W3" s="168" t="s">
        <v>130</v>
      </c>
      <c r="X3" s="168" t="s">
        <v>131</v>
      </c>
      <c r="Y3" s="168" t="s">
        <v>132</v>
      </c>
      <c r="Z3" s="169" t="s">
        <v>133</v>
      </c>
      <c r="AA3" s="168" t="s">
        <v>130</v>
      </c>
      <c r="AB3" s="168" t="s">
        <v>131</v>
      </c>
      <c r="AC3" s="168" t="s">
        <v>132</v>
      </c>
      <c r="AD3" s="169" t="s">
        <v>133</v>
      </c>
    </row>
    <row r="4" spans="1:30" x14ac:dyDescent="0.25">
      <c r="A4" s="170"/>
      <c r="B4" s="4" t="str">
        <f>HLOOKUP(Language!$C$3,Language!$E$1:$Z566,2,FALSE)</f>
        <v>Model Type</v>
      </c>
      <c r="C4" s="184" t="str">
        <f>CONCATENATE(C5," ",HLOOKUP(Language!$C$3,Language!$E$1:$Z495,3,FALSE))</f>
        <v>RT434 GNSS Grandmaster Clock</v>
      </c>
      <c r="D4" s="171"/>
      <c r="E4" s="171"/>
      <c r="F4" s="172"/>
      <c r="G4" s="184" t="str">
        <f>CONCATENATE(G5," ",HLOOKUP(Language!$C$3,Language!$E$1:$Z495,3,FALSE))</f>
        <v>RT434 GNSS Grandmaster Clock</v>
      </c>
      <c r="H4" s="171"/>
      <c r="I4" s="171"/>
      <c r="J4" s="172"/>
      <c r="K4" s="184" t="str">
        <f>CONCATENATE(K5," ",HLOOKUP(Language!$C$3,Language!$E$1:$Z495,3,FALSE))</f>
        <v>RT434 GNSS Grandmaster Clock</v>
      </c>
      <c r="L4" s="171"/>
      <c r="M4" s="171"/>
      <c r="N4" s="172"/>
      <c r="O4" s="184" t="str">
        <f>CONCATENATE(O5," ",HLOOKUP(Language!$C$3,Language!$E$1:$Z495,3,FALSE))</f>
        <v>RT434 GNSS Grandmaster Clock</v>
      </c>
      <c r="P4" s="171"/>
      <c r="Q4" s="171"/>
      <c r="R4" s="172"/>
      <c r="S4" s="184" t="str">
        <f>CONCATENATE(S5," ",HLOOKUP(Language!$C$3,Language!$E$1:$Z495,72,FALSE))</f>
        <v>RT434 GNSS Precision-Time Clock</v>
      </c>
      <c r="T4" s="171"/>
      <c r="U4" s="171"/>
      <c r="V4" s="172"/>
      <c r="W4" s="184" t="str">
        <f>CONCATENATE(W5," ",HLOOKUP(Language!$C$3,Language!$E$1:$Z495,72,FALSE))</f>
        <v>RT434 GNSS Precision-Time Clock</v>
      </c>
      <c r="X4" s="171"/>
      <c r="Y4" s="171"/>
      <c r="Z4" s="172"/>
      <c r="AA4" s="184" t="str">
        <f>CONCATENATE(AA5," ",HLOOKUP(Language!$C$3,Language!$E$1:$Z495,72,FALSE))</f>
        <v>RT434 GNSS Precision-Time Clock</v>
      </c>
      <c r="AB4" s="171"/>
      <c r="AC4" s="171"/>
      <c r="AD4" s="172"/>
    </row>
    <row r="5" spans="1:30" x14ac:dyDescent="0.25">
      <c r="A5" s="170"/>
      <c r="B5" s="173" t="s">
        <v>134</v>
      </c>
      <c r="C5" s="174" t="str">
        <f>HLOOKUP(Language!$C$3,Language!$E$1:$Z495,4,FALSE)</f>
        <v>RT434</v>
      </c>
      <c r="D5" s="174"/>
      <c r="E5" s="175"/>
      <c r="F5" s="174" t="s">
        <v>135</v>
      </c>
      <c r="G5" s="174" t="str">
        <f>HLOOKUP(Language!$C$3,Language!$E$1:$Z495,4,FALSE)</f>
        <v>RT434</v>
      </c>
      <c r="H5" s="174"/>
      <c r="I5" s="175"/>
      <c r="J5" s="174" t="s">
        <v>135</v>
      </c>
      <c r="K5" s="174" t="str">
        <f>HLOOKUP(Language!$C$3,Language!$E$1:$Z495,4,FALSE)</f>
        <v>RT434</v>
      </c>
      <c r="L5" s="174"/>
      <c r="M5" s="175"/>
      <c r="N5" s="174" t="s">
        <v>135</v>
      </c>
      <c r="O5" s="174" t="str">
        <f>HLOOKUP(Language!$C$3,Language!$E$1:$Z495,4,FALSE)</f>
        <v>RT434</v>
      </c>
      <c r="P5" s="174"/>
      <c r="Q5" s="175"/>
      <c r="R5" s="174" t="s">
        <v>135</v>
      </c>
      <c r="S5" s="174" t="str">
        <f>HLOOKUP(Language!$C$3,Language!$E$1:$Z495,4,FALSE)</f>
        <v>RT434</v>
      </c>
      <c r="T5" s="174"/>
      <c r="U5" s="175"/>
      <c r="V5" s="174" t="s">
        <v>135</v>
      </c>
      <c r="W5" s="174" t="str">
        <f>HLOOKUP(Language!$C$3,Language!$E$1:$Z495,4,FALSE)</f>
        <v>RT434</v>
      </c>
      <c r="X5" s="174"/>
      <c r="Y5" s="175"/>
      <c r="Z5" s="174" t="s">
        <v>135</v>
      </c>
      <c r="AA5" s="174" t="str">
        <f>HLOOKUP(Language!$C$3,Language!$E$1:$Z495,4,FALSE)</f>
        <v>RT434</v>
      </c>
      <c r="AB5" s="174"/>
      <c r="AC5" s="175"/>
      <c r="AD5" s="174" t="s">
        <v>135</v>
      </c>
    </row>
    <row r="6" spans="1:30" x14ac:dyDescent="0.25">
      <c r="A6" s="11">
        <v>1</v>
      </c>
      <c r="B6" s="6" t="str">
        <f>HLOOKUP(Language!$C$3,Language!$E$1:$Z565,5,FALSE)</f>
        <v>Power Supply 1</v>
      </c>
      <c r="C6" s="7" t="str">
        <f>HLOOKUP(Language!$C$3,Language!$E$1:$Z494,6,FALSE)</f>
        <v>24-48 Vdc</v>
      </c>
      <c r="D6" s="7">
        <v>1</v>
      </c>
      <c r="E6" s="7"/>
      <c r="F6" s="7" t="s">
        <v>135</v>
      </c>
      <c r="G6" s="7" t="str">
        <f>HLOOKUP(Language!$C$3,Language!$E$1:$Z494,6,FALSE)</f>
        <v>24-48 Vdc</v>
      </c>
      <c r="H6" s="7">
        <v>1</v>
      </c>
      <c r="I6" s="7"/>
      <c r="J6" s="7" t="s">
        <v>135</v>
      </c>
      <c r="K6" s="7" t="str">
        <f>HLOOKUP(Language!$C$3,Language!$E$1:$Z494,6,FALSE)</f>
        <v>24-48 Vdc</v>
      </c>
      <c r="L6" s="7">
        <v>1</v>
      </c>
      <c r="M6" s="7"/>
      <c r="N6" s="7" t="s">
        <v>135</v>
      </c>
      <c r="O6" s="7" t="str">
        <f>HLOOKUP(Language!$C$3,Language!$E$1:$Z494,6,FALSE)</f>
        <v>24-48 Vdc</v>
      </c>
      <c r="P6" s="7">
        <v>1</v>
      </c>
      <c r="Q6" s="7"/>
      <c r="R6" s="7" t="s">
        <v>135</v>
      </c>
      <c r="S6" s="7" t="str">
        <f>HLOOKUP(Language!$C$3,Language!$E$1:$Z494,6,FALSE)</f>
        <v>24-48 Vdc</v>
      </c>
      <c r="T6" s="7">
        <v>1</v>
      </c>
      <c r="U6" s="7"/>
      <c r="V6" s="7" t="s">
        <v>135</v>
      </c>
      <c r="W6" s="7" t="str">
        <f>HLOOKUP(Language!$C$3,Language!$E$1:$Z494,6,FALSE)</f>
        <v>24-48 Vdc</v>
      </c>
      <c r="X6" s="7">
        <v>1</v>
      </c>
      <c r="Y6" s="7"/>
      <c r="Z6" s="7" t="s">
        <v>135</v>
      </c>
      <c r="AA6" s="7" t="str">
        <f>HLOOKUP(Language!$C$3,Language!$E$1:$Z494,6,FALSE)</f>
        <v>24-48 Vdc</v>
      </c>
      <c r="AB6" s="7">
        <v>1</v>
      </c>
      <c r="AC6" s="7"/>
      <c r="AD6" s="7" t="s">
        <v>135</v>
      </c>
    </row>
    <row r="7" spans="1:30" x14ac:dyDescent="0.25">
      <c r="A7" s="12"/>
      <c r="C7" s="8" t="str">
        <f>HLOOKUP(Language!$C$3,Language!$E$1:$Z495,7,FALSE)</f>
        <v>100-250 Vdc / 110-240 Vac</v>
      </c>
      <c r="D7" s="8">
        <v>3</v>
      </c>
      <c r="E7" s="8"/>
      <c r="F7" s="8" t="s">
        <v>135</v>
      </c>
      <c r="G7" s="8" t="str">
        <f>HLOOKUP(Language!$C$3,Language!$E$1:$Z495,7,FALSE)</f>
        <v>100-250 Vdc / 110-240 Vac</v>
      </c>
      <c r="H7" s="8">
        <v>3</v>
      </c>
      <c r="I7" s="8"/>
      <c r="J7" s="8" t="s">
        <v>135</v>
      </c>
      <c r="K7" s="8" t="str">
        <f>HLOOKUP(Language!$C$3,Language!$E$1:$Z495,7,FALSE)</f>
        <v>100-250 Vdc / 110-240 Vac</v>
      </c>
      <c r="L7" s="8">
        <v>3</v>
      </c>
      <c r="M7" s="8"/>
      <c r="N7" s="8" t="s">
        <v>135</v>
      </c>
      <c r="O7" s="8" t="str">
        <f>HLOOKUP(Language!$C$3,Language!$E$1:$Z495,7,FALSE)</f>
        <v>100-250 Vdc / 110-240 Vac</v>
      </c>
      <c r="P7" s="8">
        <v>3</v>
      </c>
      <c r="Q7" s="8"/>
      <c r="R7" s="8" t="s">
        <v>135</v>
      </c>
      <c r="S7" s="8" t="str">
        <f>HLOOKUP(Language!$C$3,Language!$E$1:$Z495,7,FALSE)</f>
        <v>100-250 Vdc / 110-240 Vac</v>
      </c>
      <c r="T7" s="8">
        <v>3</v>
      </c>
      <c r="U7" s="8"/>
      <c r="V7" s="8" t="s">
        <v>135</v>
      </c>
      <c r="W7" s="8" t="str">
        <f>HLOOKUP(Language!$C$3,Language!$E$1:$Z495,7,FALSE)</f>
        <v>100-250 Vdc / 110-240 Vac</v>
      </c>
      <c r="X7" s="8">
        <v>3</v>
      </c>
      <c r="Y7" s="8"/>
      <c r="Z7" s="8" t="s">
        <v>135</v>
      </c>
      <c r="AA7" s="8" t="str">
        <f>HLOOKUP(Language!$C$3,Language!$E$1:$Z495,7,FALSE)</f>
        <v>100-250 Vdc / 110-240 Vac</v>
      </c>
      <c r="AB7" s="8">
        <v>3</v>
      </c>
      <c r="AC7" s="8"/>
      <c r="AD7" s="8" t="s">
        <v>135</v>
      </c>
    </row>
    <row r="8" spans="1:30" x14ac:dyDescent="0.25">
      <c r="A8" s="17"/>
      <c r="C8" s="73"/>
      <c r="D8" s="5"/>
      <c r="E8" s="5"/>
      <c r="F8" s="73"/>
      <c r="G8" s="73"/>
      <c r="H8" s="5"/>
      <c r="I8" s="5"/>
      <c r="J8" s="73"/>
      <c r="K8" s="73"/>
      <c r="L8" s="5"/>
      <c r="M8" s="5"/>
      <c r="N8" s="73"/>
      <c r="O8" s="73"/>
      <c r="P8" s="5"/>
      <c r="Q8" s="5"/>
      <c r="R8" s="73"/>
      <c r="S8" s="73"/>
      <c r="T8" s="5"/>
      <c r="U8" s="5"/>
      <c r="V8" s="73"/>
      <c r="W8" s="73"/>
      <c r="X8" s="5"/>
      <c r="Y8" s="5"/>
      <c r="Z8" s="73"/>
      <c r="AA8" s="73"/>
      <c r="AB8" s="5"/>
      <c r="AC8" s="5"/>
      <c r="AD8" s="73"/>
    </row>
    <row r="9" spans="1:30" x14ac:dyDescent="0.25">
      <c r="A9" s="11">
        <v>2</v>
      </c>
      <c r="B9" s="4" t="str">
        <f>HLOOKUP(Language!$C$3,Language!$E$1:$Z560,8,FALSE)</f>
        <v>Power Supply 2</v>
      </c>
      <c r="C9" s="10" t="str">
        <f>HLOOKUP(Language!$C$3,Language!$E$1:$Z487,6,FALSE)</f>
        <v>24-48 Vdc</v>
      </c>
      <c r="D9" s="10">
        <v>1</v>
      </c>
      <c r="E9" s="10"/>
      <c r="F9" s="10" t="s">
        <v>135</v>
      </c>
      <c r="G9" s="10" t="str">
        <f>HLOOKUP(Language!$C$3,Language!$E$1:$Z487,6,FALSE)</f>
        <v>24-48 Vdc</v>
      </c>
      <c r="H9" s="10">
        <v>1</v>
      </c>
      <c r="I9" s="10"/>
      <c r="J9" s="10" t="s">
        <v>135</v>
      </c>
      <c r="K9" s="10" t="str">
        <f>HLOOKUP(Language!$C$3,Language!$E$1:$Z487,6,FALSE)</f>
        <v>24-48 Vdc</v>
      </c>
      <c r="L9" s="10">
        <v>1</v>
      </c>
      <c r="M9" s="10"/>
      <c r="N9" s="10" t="s">
        <v>135</v>
      </c>
      <c r="O9" s="10" t="str">
        <f>HLOOKUP(Language!$C$3,Language!$E$1:$Z487,6,FALSE)</f>
        <v>24-48 Vdc</v>
      </c>
      <c r="P9" s="10">
        <v>1</v>
      </c>
      <c r="Q9" s="10"/>
      <c r="R9" s="10" t="s">
        <v>135</v>
      </c>
      <c r="S9" s="10" t="str">
        <f>HLOOKUP(Language!$C$3,Language!$E$1:$Z487,6,FALSE)</f>
        <v>24-48 Vdc</v>
      </c>
      <c r="T9" s="10">
        <v>1</v>
      </c>
      <c r="U9" s="10"/>
      <c r="V9" s="10" t="s">
        <v>135</v>
      </c>
      <c r="W9" s="10" t="str">
        <f>HLOOKUP(Language!$C$3,Language!$E$1:$Z487,6,FALSE)</f>
        <v>24-48 Vdc</v>
      </c>
      <c r="X9" s="10">
        <v>1</v>
      </c>
      <c r="Y9" s="10"/>
      <c r="Z9" s="10" t="s">
        <v>135</v>
      </c>
      <c r="AA9" s="10" t="str">
        <f>HLOOKUP(Language!$C$3,Language!$E$1:$Z487,6,FALSE)</f>
        <v>24-48 Vdc</v>
      </c>
      <c r="AB9" s="10">
        <v>1</v>
      </c>
      <c r="AC9" s="10"/>
      <c r="AD9" s="10" t="s">
        <v>135</v>
      </c>
    </row>
    <row r="10" spans="1:30" x14ac:dyDescent="0.25">
      <c r="A10" s="12"/>
      <c r="B10" s="18"/>
      <c r="C10" s="30" t="str">
        <f>HLOOKUP(Language!$C$3,Language!$E$1:$Z488,7,FALSE)</f>
        <v>100-250 Vdc / 110-240 Vac</v>
      </c>
      <c r="D10" s="5">
        <v>3</v>
      </c>
      <c r="E10" s="5"/>
      <c r="F10" s="30" t="s">
        <v>135</v>
      </c>
      <c r="G10" s="30" t="str">
        <f>HLOOKUP(Language!$C$3,Language!$E$1:$Z488,7,FALSE)</f>
        <v>100-250 Vdc / 110-240 Vac</v>
      </c>
      <c r="H10" s="5">
        <v>3</v>
      </c>
      <c r="I10" s="5"/>
      <c r="J10" s="30" t="s">
        <v>135</v>
      </c>
      <c r="K10" s="30" t="str">
        <f>HLOOKUP(Language!$C$3,Language!$E$1:$Z488,7,FALSE)</f>
        <v>100-250 Vdc / 110-240 Vac</v>
      </c>
      <c r="L10" s="5">
        <v>3</v>
      </c>
      <c r="M10" s="5"/>
      <c r="N10" s="30" t="s">
        <v>135</v>
      </c>
      <c r="O10" s="30" t="str">
        <f>HLOOKUP(Language!$C$3,Language!$E$1:$Z488,7,FALSE)</f>
        <v>100-250 Vdc / 110-240 Vac</v>
      </c>
      <c r="P10" s="5">
        <v>3</v>
      </c>
      <c r="Q10" s="5"/>
      <c r="R10" s="30" t="s">
        <v>135</v>
      </c>
      <c r="S10" s="30" t="str">
        <f>HLOOKUP(Language!$C$3,Language!$E$1:$Z488,7,FALSE)</f>
        <v>100-250 Vdc / 110-240 Vac</v>
      </c>
      <c r="T10" s="5">
        <v>3</v>
      </c>
      <c r="U10" s="5"/>
      <c r="V10" s="30" t="s">
        <v>135</v>
      </c>
      <c r="W10" s="30" t="str">
        <f>HLOOKUP(Language!$C$3,Language!$E$1:$Z488,7,FALSE)</f>
        <v>100-250 Vdc / 110-240 Vac</v>
      </c>
      <c r="X10" s="5">
        <v>3</v>
      </c>
      <c r="Y10" s="5"/>
      <c r="Z10" s="30" t="s">
        <v>135</v>
      </c>
      <c r="AA10" s="30" t="str">
        <f>HLOOKUP(Language!$C$3,Language!$E$1:$Z488,7,FALSE)</f>
        <v>100-250 Vdc / 110-240 Vac</v>
      </c>
      <c r="AB10" s="5">
        <v>3</v>
      </c>
      <c r="AC10" s="5"/>
      <c r="AD10" s="30" t="s">
        <v>135</v>
      </c>
    </row>
    <row r="11" spans="1:30" x14ac:dyDescent="0.25">
      <c r="A11" s="12"/>
      <c r="B11" s="18"/>
      <c r="C11" s="30" t="str">
        <f>HLOOKUP(Language!$C$3,Language!$E$1:$Z488,9,FALSE)</f>
        <v>Not installed</v>
      </c>
      <c r="D11" s="5" t="s">
        <v>9</v>
      </c>
      <c r="E11" s="5"/>
      <c r="F11" s="30" t="s">
        <v>135</v>
      </c>
      <c r="G11" s="30" t="str">
        <f>HLOOKUP(Language!$C$3,Language!$E$1:$Z488,9,FALSE)</f>
        <v>Not installed</v>
      </c>
      <c r="H11" s="5" t="s">
        <v>9</v>
      </c>
      <c r="I11" s="5"/>
      <c r="J11" s="30" t="s">
        <v>135</v>
      </c>
      <c r="K11" s="30" t="str">
        <f>HLOOKUP(Language!$C$3,Language!$E$1:$Z488,9,FALSE)</f>
        <v>Not installed</v>
      </c>
      <c r="L11" s="5" t="s">
        <v>9</v>
      </c>
      <c r="M11" s="5"/>
      <c r="N11" s="30" t="s">
        <v>135</v>
      </c>
      <c r="O11" s="30" t="str">
        <f>HLOOKUP(Language!$C$3,Language!$E$1:$Z488,9,FALSE)</f>
        <v>Not installed</v>
      </c>
      <c r="P11" s="5" t="s">
        <v>9</v>
      </c>
      <c r="Q11" s="5"/>
      <c r="R11" s="30" t="s">
        <v>135</v>
      </c>
      <c r="S11" s="30" t="str">
        <f>HLOOKUP(Language!$C$3,Language!$E$1:$Z488,9,FALSE)</f>
        <v>Not installed</v>
      </c>
      <c r="T11" s="5" t="s">
        <v>9</v>
      </c>
      <c r="U11" s="5"/>
      <c r="V11" s="30" t="s">
        <v>135</v>
      </c>
      <c r="W11" s="30" t="str">
        <f>HLOOKUP(Language!$C$3,Language!$E$1:$Z488,9,FALSE)</f>
        <v>Not installed</v>
      </c>
      <c r="X11" s="5" t="s">
        <v>9</v>
      </c>
      <c r="Y11" s="5"/>
      <c r="Z11" s="30" t="s">
        <v>135</v>
      </c>
      <c r="AA11" s="30" t="str">
        <f>HLOOKUP(Language!$C$3,Language!$E$1:$Z488,9,FALSE)</f>
        <v>Not installed</v>
      </c>
      <c r="AB11" s="5" t="s">
        <v>9</v>
      </c>
      <c r="AC11" s="5"/>
      <c r="AD11" s="30" t="s">
        <v>135</v>
      </c>
    </row>
    <row r="12" spans="1:30" x14ac:dyDescent="0.25">
      <c r="A12" s="17"/>
      <c r="C12" s="73"/>
      <c r="D12" s="5"/>
      <c r="E12" s="5"/>
      <c r="F12" s="73"/>
      <c r="G12" s="73"/>
      <c r="H12" s="5"/>
      <c r="I12" s="5"/>
      <c r="J12" s="73"/>
      <c r="K12" s="73"/>
      <c r="L12" s="5"/>
      <c r="M12" s="5"/>
      <c r="N12" s="73"/>
      <c r="O12" s="73"/>
      <c r="P12" s="5"/>
      <c r="Q12" s="5"/>
      <c r="R12" s="73"/>
      <c r="S12" s="73"/>
      <c r="T12" s="5"/>
      <c r="U12" s="5"/>
      <c r="V12" s="73"/>
      <c r="W12" s="73"/>
      <c r="X12" s="5"/>
      <c r="Y12" s="5"/>
      <c r="Z12" s="73"/>
      <c r="AA12" s="73"/>
      <c r="AB12" s="5"/>
      <c r="AC12" s="5"/>
      <c r="AD12" s="73"/>
    </row>
    <row r="13" spans="1:30" x14ac:dyDescent="0.25">
      <c r="A13" s="11">
        <v>3</v>
      </c>
      <c r="B13" s="4" t="str">
        <f>HLOOKUP(Language!$C$3,Language!$E$1:$Z552,10,FALSE)</f>
        <v>Ethernet Interface 1 and 2</v>
      </c>
      <c r="C13" s="10" t="str">
        <f>HLOOKUP(Language!$C$3,Language!$E$1:$Z481,11,FALSE)</f>
        <v>RJ45 copper 100BASE-TX for configuration only</v>
      </c>
      <c r="D13" s="10" t="s">
        <v>2</v>
      </c>
      <c r="E13" s="10"/>
      <c r="F13" s="10" t="s">
        <v>135</v>
      </c>
      <c r="G13" s="10" t="str">
        <f>HLOOKUP(Language!$C$3,Language!$E$1:$Z481,11,FALSE)</f>
        <v>RJ45 copper 100BASE-TX for configuration only</v>
      </c>
      <c r="H13" s="10" t="s">
        <v>2</v>
      </c>
      <c r="I13" s="10"/>
      <c r="J13" s="10" t="s">
        <v>135</v>
      </c>
      <c r="K13" s="10" t="str">
        <f>HLOOKUP(Language!$C$3,Language!$E$1:$Z481,11,FALSE)</f>
        <v>RJ45 copper 100BASE-TX for configuration only</v>
      </c>
      <c r="L13" s="10" t="s">
        <v>2</v>
      </c>
      <c r="M13" s="10"/>
      <c r="N13" s="10" t="s">
        <v>135</v>
      </c>
      <c r="O13" s="10" t="str">
        <f>HLOOKUP(Language!$C$3,Language!$E$1:$Z481,11,FALSE)</f>
        <v>RJ45 copper 100BASE-TX for configuration only</v>
      </c>
      <c r="P13" s="10" t="s">
        <v>2</v>
      </c>
      <c r="Q13" s="10"/>
      <c r="R13" s="10" t="s">
        <v>135</v>
      </c>
      <c r="S13" s="10" t="str">
        <f>HLOOKUP(Language!$C$3,Language!$E$1:$Z481,11,FALSE)</f>
        <v>RJ45 copper 100BASE-TX for configuration only</v>
      </c>
      <c r="T13" s="10" t="s">
        <v>2</v>
      </c>
      <c r="U13" s="10"/>
      <c r="V13" s="10" t="s">
        <v>135</v>
      </c>
      <c r="W13" s="10" t="str">
        <f>HLOOKUP(Language!$C$3,Language!$E$1:$Z481,11,FALSE)</f>
        <v>RJ45 copper 100BASE-TX for configuration only</v>
      </c>
      <c r="X13" s="10" t="s">
        <v>2</v>
      </c>
      <c r="Y13" s="10"/>
      <c r="Z13" s="10" t="s">
        <v>135</v>
      </c>
      <c r="AA13" s="10" t="str">
        <f>HLOOKUP(Language!$C$3,Language!$E$1:$Z481,11,FALSE)</f>
        <v>RJ45 copper 100BASE-TX for configuration only</v>
      </c>
      <c r="AB13" s="10" t="s">
        <v>2</v>
      </c>
      <c r="AC13" s="10"/>
      <c r="AD13" s="10" t="s">
        <v>135</v>
      </c>
    </row>
    <row r="14" spans="1:30" x14ac:dyDescent="0.25">
      <c r="A14" s="12"/>
      <c r="B14" s="18"/>
      <c r="C14" s="30" t="str">
        <f>HLOOKUP(Language!$C$3,Language!$E$1:$Z481,12,FALSE)</f>
        <v>RJ45 copper 100BASE-TX for NTP server and configuration</v>
      </c>
      <c r="D14" s="5" t="s">
        <v>20</v>
      </c>
      <c r="E14" s="5"/>
      <c r="F14" s="30" t="s">
        <v>135</v>
      </c>
      <c r="G14" s="30" t="str">
        <f>HLOOKUP(Language!$C$3,Language!$E$1:$Z481,12,FALSE)</f>
        <v>RJ45 copper 100BASE-TX for NTP server and configuration</v>
      </c>
      <c r="H14" s="5" t="s">
        <v>20</v>
      </c>
      <c r="I14" s="5"/>
      <c r="J14" s="30" t="s">
        <v>135</v>
      </c>
      <c r="K14" s="30" t="str">
        <f>HLOOKUP(Language!$C$3,Language!$E$1:$Z481,12,FALSE)</f>
        <v>RJ45 copper 100BASE-TX for NTP server and configuration</v>
      </c>
      <c r="L14" s="5" t="s">
        <v>20</v>
      </c>
      <c r="M14" s="5"/>
      <c r="N14" s="30" t="s">
        <v>135</v>
      </c>
      <c r="O14" s="30" t="str">
        <f>HLOOKUP(Language!$C$3,Language!$E$1:$Z481,12,FALSE)</f>
        <v>RJ45 copper 100BASE-TX for NTP server and configuration</v>
      </c>
      <c r="P14" s="5" t="s">
        <v>20</v>
      </c>
      <c r="Q14" s="5"/>
      <c r="R14" s="30" t="s">
        <v>135</v>
      </c>
      <c r="S14" s="30" t="str">
        <f>HLOOKUP(Language!$C$3,Language!$E$1:$Z481,12,FALSE)</f>
        <v>RJ45 copper 100BASE-TX for NTP server and configuration</v>
      </c>
      <c r="T14" s="5" t="s">
        <v>20</v>
      </c>
      <c r="U14" s="5"/>
      <c r="V14" s="30" t="s">
        <v>135</v>
      </c>
      <c r="W14" s="30" t="str">
        <f>HLOOKUP(Language!$C$3,Language!$E$1:$Z481,12,FALSE)</f>
        <v>RJ45 copper 100BASE-TX for NTP server and configuration</v>
      </c>
      <c r="X14" s="5" t="s">
        <v>20</v>
      </c>
      <c r="Y14" s="5"/>
      <c r="Z14" s="30" t="s">
        <v>135</v>
      </c>
      <c r="AA14" s="30" t="str">
        <f>HLOOKUP(Language!$C$3,Language!$E$1:$Z481,12,FALSE)</f>
        <v>RJ45 copper 100BASE-TX for NTP server and configuration</v>
      </c>
      <c r="AB14" s="5" t="s">
        <v>20</v>
      </c>
      <c r="AC14" s="5"/>
      <c r="AD14" s="30" t="s">
        <v>135</v>
      </c>
    </row>
    <row r="15" spans="1:30" x14ac:dyDescent="0.25">
      <c r="A15" s="12"/>
      <c r="B15" s="18"/>
      <c r="C15" s="30" t="str">
        <f>HLOOKUP(Language!$C$3,Language!$E$1:$Z481,13,FALSE)</f>
        <v>RJ45 copper 100BASE-TX for PTP (IEEE 1588) server, NTP server and configuration</v>
      </c>
      <c r="D15" s="5" t="s">
        <v>14</v>
      </c>
      <c r="E15" s="5"/>
      <c r="F15" s="30" t="s">
        <v>135</v>
      </c>
      <c r="G15" s="30" t="str">
        <f>HLOOKUP(Language!$C$3,Language!$E$1:$Z481,13,FALSE)</f>
        <v>RJ45 copper 100BASE-TX for PTP (IEEE 1588) server, NTP server and configuration</v>
      </c>
      <c r="H15" s="5" t="s">
        <v>14</v>
      </c>
      <c r="I15" s="5"/>
      <c r="J15" s="30" t="s">
        <v>135</v>
      </c>
      <c r="K15" s="30" t="str">
        <f>HLOOKUP(Language!$C$3,Language!$E$1:$Z481,13,FALSE)</f>
        <v>RJ45 copper 100BASE-TX for PTP (IEEE 1588) server, NTP server and configuration</v>
      </c>
      <c r="L15" s="5" t="s">
        <v>14</v>
      </c>
      <c r="M15" s="5"/>
      <c r="N15" s="30" t="s">
        <v>135</v>
      </c>
      <c r="O15" s="30" t="str">
        <f>HLOOKUP(Language!$C$3,Language!$E$1:$Z481,13,FALSE)</f>
        <v>RJ45 copper 100BASE-TX for PTP (IEEE 1588) server, NTP server and configuration</v>
      </c>
      <c r="P15" s="5" t="s">
        <v>14</v>
      </c>
      <c r="Q15" s="5"/>
      <c r="R15" s="30" t="s">
        <v>135</v>
      </c>
      <c r="S15" s="30" t="str">
        <f>HLOOKUP(Language!$C$3,Language!$E$1:$Z481,13,FALSE)</f>
        <v>RJ45 copper 100BASE-TX for PTP (IEEE 1588) server, NTP server and configuration</v>
      </c>
      <c r="T15" s="5" t="s">
        <v>14</v>
      </c>
      <c r="U15" s="5"/>
      <c r="V15" s="30" t="s">
        <v>135</v>
      </c>
      <c r="W15" s="30" t="str">
        <f>HLOOKUP(Language!$C$3,Language!$E$1:$Z481,13,FALSE)</f>
        <v>RJ45 copper 100BASE-TX for PTP (IEEE 1588) server, NTP server and configuration</v>
      </c>
      <c r="X15" s="5" t="s">
        <v>14</v>
      </c>
      <c r="Y15" s="5"/>
      <c r="Z15" s="30" t="s">
        <v>135</v>
      </c>
      <c r="AA15" s="30" t="str">
        <f>HLOOKUP(Language!$C$3,Language!$E$1:$Z481,13,FALSE)</f>
        <v>RJ45 copper 100BASE-TX for PTP (IEEE 1588) server, NTP server and configuration</v>
      </c>
      <c r="AB15" s="5" t="s">
        <v>14</v>
      </c>
      <c r="AC15" s="5"/>
      <c r="AD15" s="30" t="s">
        <v>135</v>
      </c>
    </row>
    <row r="16" spans="1:30" x14ac:dyDescent="0.25">
      <c r="A16" s="17"/>
      <c r="C16" s="73"/>
      <c r="D16" s="5"/>
      <c r="E16" s="5"/>
      <c r="F16" s="73"/>
      <c r="G16" s="73"/>
      <c r="H16" s="5"/>
      <c r="I16" s="5"/>
      <c r="J16" s="73"/>
      <c r="K16" s="73"/>
      <c r="L16" s="5"/>
      <c r="M16" s="5"/>
      <c r="N16" s="73"/>
      <c r="O16" s="73"/>
      <c r="P16" s="5"/>
      <c r="Q16" s="5"/>
      <c r="R16" s="73"/>
      <c r="S16" s="73"/>
      <c r="T16" s="5"/>
      <c r="U16" s="5"/>
      <c r="V16" s="73"/>
      <c r="W16" s="73"/>
      <c r="X16" s="5"/>
      <c r="Y16" s="5"/>
      <c r="Z16" s="73"/>
      <c r="AA16" s="73"/>
      <c r="AB16" s="5"/>
      <c r="AC16" s="5"/>
      <c r="AD16" s="73"/>
    </row>
    <row r="17" spans="1:30" x14ac:dyDescent="0.25">
      <c r="A17" s="11">
        <v>4</v>
      </c>
      <c r="B17" s="4" t="str">
        <f>HLOOKUP(Language!$C$3,Language!$E$1:$Z546,14,FALSE)</f>
        <v>Ethernet Interface 3 and 4</v>
      </c>
      <c r="C17" s="10" t="str">
        <f>HLOOKUP(Language!$C$3,Language!$E$1:$Z489,11,FALSE)</f>
        <v>RJ45 copper 100BASE-TX for configuration only</v>
      </c>
      <c r="D17" s="10" t="s">
        <v>2</v>
      </c>
      <c r="E17" s="10"/>
      <c r="F17" s="10" t="s">
        <v>135</v>
      </c>
      <c r="G17" s="10" t="str">
        <f>HLOOKUP(Language!$C$3,Language!$E$1:$Z489,11,FALSE)</f>
        <v>RJ45 copper 100BASE-TX for configuration only</v>
      </c>
      <c r="H17" s="10" t="s">
        <v>2</v>
      </c>
      <c r="I17" s="10"/>
      <c r="J17" s="10" t="s">
        <v>135</v>
      </c>
      <c r="K17" s="10" t="str">
        <f>HLOOKUP(Language!$C$3,Language!$E$1:$Z489,11,FALSE)</f>
        <v>RJ45 copper 100BASE-TX for configuration only</v>
      </c>
      <c r="L17" s="10" t="s">
        <v>2</v>
      </c>
      <c r="M17" s="10"/>
      <c r="N17" s="10" t="s">
        <v>135</v>
      </c>
      <c r="O17" s="10" t="str">
        <f>HLOOKUP(Language!$C$3,Language!$E$1:$Z489,11,FALSE)</f>
        <v>RJ45 copper 100BASE-TX for configuration only</v>
      </c>
      <c r="P17" s="10" t="s">
        <v>2</v>
      </c>
      <c r="Q17" s="10"/>
      <c r="R17" s="10" t="s">
        <v>135</v>
      </c>
      <c r="S17" s="10" t="str">
        <f>HLOOKUP(Language!$C$3,Language!$E$1:$Z489,11,FALSE)</f>
        <v>RJ45 copper 100BASE-TX for configuration only</v>
      </c>
      <c r="T17" s="10" t="s">
        <v>2</v>
      </c>
      <c r="U17" s="10"/>
      <c r="V17" s="10" t="s">
        <v>135</v>
      </c>
      <c r="W17" s="10" t="str">
        <f>HLOOKUP(Language!$C$3,Language!$E$1:$Z489,11,FALSE)</f>
        <v>RJ45 copper 100BASE-TX for configuration only</v>
      </c>
      <c r="X17" s="10" t="s">
        <v>2</v>
      </c>
      <c r="Y17" s="10"/>
      <c r="Z17" s="10" t="s">
        <v>135</v>
      </c>
      <c r="AA17" s="10" t="str">
        <f>HLOOKUP(Language!$C$3,Language!$E$1:$Z489,11,FALSE)</f>
        <v>RJ45 copper 100BASE-TX for configuration only</v>
      </c>
      <c r="AB17" s="10" t="s">
        <v>2</v>
      </c>
      <c r="AC17" s="10"/>
      <c r="AD17" s="10" t="s">
        <v>135</v>
      </c>
    </row>
    <row r="18" spans="1:30" x14ac:dyDescent="0.25">
      <c r="A18" s="12"/>
      <c r="C18" s="30" t="str">
        <f>HLOOKUP(Language!$C$3,Language!$E$1:$Z489,12,FALSE)</f>
        <v>RJ45 copper 100BASE-TX for NTP server and configuration</v>
      </c>
      <c r="D18" s="5" t="s">
        <v>20</v>
      </c>
      <c r="E18" s="5"/>
      <c r="F18" s="30" t="s">
        <v>135</v>
      </c>
      <c r="G18" s="30" t="str">
        <f>HLOOKUP(Language!$C$3,Language!$E$1:$Z489,12,FALSE)</f>
        <v>RJ45 copper 100BASE-TX for NTP server and configuration</v>
      </c>
      <c r="H18" s="5" t="s">
        <v>20</v>
      </c>
      <c r="I18" s="5"/>
      <c r="J18" s="30" t="s">
        <v>135</v>
      </c>
      <c r="K18" s="30" t="str">
        <f>HLOOKUP(Language!$C$3,Language!$E$1:$Z489,12,FALSE)</f>
        <v>RJ45 copper 100BASE-TX for NTP server and configuration</v>
      </c>
      <c r="L18" s="5" t="s">
        <v>20</v>
      </c>
      <c r="M18" s="5"/>
      <c r="N18" s="30" t="s">
        <v>135</v>
      </c>
      <c r="O18" s="30" t="str">
        <f>HLOOKUP(Language!$C$3,Language!$E$1:$Z489,12,FALSE)</f>
        <v>RJ45 copper 100BASE-TX for NTP server and configuration</v>
      </c>
      <c r="P18" s="5" t="s">
        <v>20</v>
      </c>
      <c r="Q18" s="5"/>
      <c r="R18" s="30" t="s">
        <v>135</v>
      </c>
      <c r="S18" s="30" t="str">
        <f>HLOOKUP(Language!$C$3,Language!$E$1:$Z489,12,FALSE)</f>
        <v>RJ45 copper 100BASE-TX for NTP server and configuration</v>
      </c>
      <c r="T18" s="5" t="s">
        <v>20</v>
      </c>
      <c r="U18" s="5"/>
      <c r="V18" s="30" t="s">
        <v>135</v>
      </c>
      <c r="W18" s="30" t="str">
        <f>HLOOKUP(Language!$C$3,Language!$E$1:$Z489,12,FALSE)</f>
        <v>RJ45 copper 100BASE-TX for NTP server and configuration</v>
      </c>
      <c r="X18" s="5" t="s">
        <v>20</v>
      </c>
      <c r="Y18" s="5"/>
      <c r="Z18" s="30" t="s">
        <v>135</v>
      </c>
      <c r="AA18" s="30" t="str">
        <f>HLOOKUP(Language!$C$3,Language!$E$1:$Z489,12,FALSE)</f>
        <v>RJ45 copper 100BASE-TX for NTP server and configuration</v>
      </c>
      <c r="AB18" s="5" t="s">
        <v>20</v>
      </c>
      <c r="AC18" s="5"/>
      <c r="AD18" s="30" t="s">
        <v>135</v>
      </c>
    </row>
    <row r="19" spans="1:30" x14ac:dyDescent="0.25">
      <c r="A19" s="12"/>
      <c r="C19" s="30" t="str">
        <f>HLOOKUP(Language!$C$3,Language!$E$1:$Z489,13,FALSE)</f>
        <v>RJ45 copper 100BASE-TX for PTP (IEEE 1588) server, NTP server and configuration</v>
      </c>
      <c r="D19" s="5" t="s">
        <v>14</v>
      </c>
      <c r="E19" s="5"/>
      <c r="F19" s="30" t="s">
        <v>135</v>
      </c>
      <c r="G19" s="30" t="str">
        <f>HLOOKUP(Language!$C$3,Language!$E$1:$Z489,13,FALSE)</f>
        <v>RJ45 copper 100BASE-TX for PTP (IEEE 1588) server, NTP server and configuration</v>
      </c>
      <c r="H19" s="5" t="s">
        <v>14</v>
      </c>
      <c r="I19" s="5"/>
      <c r="J19" s="30" t="s">
        <v>135</v>
      </c>
      <c r="K19" s="30" t="str">
        <f>HLOOKUP(Language!$C$3,Language!$E$1:$Z489,13,FALSE)</f>
        <v>RJ45 copper 100BASE-TX for PTP (IEEE 1588) server, NTP server and configuration</v>
      </c>
      <c r="L19" s="5" t="s">
        <v>14</v>
      </c>
      <c r="M19" s="5"/>
      <c r="N19" s="30" t="s">
        <v>135</v>
      </c>
      <c r="O19" s="30" t="str">
        <f>HLOOKUP(Language!$C$3,Language!$E$1:$Z489,13,FALSE)</f>
        <v>RJ45 copper 100BASE-TX for PTP (IEEE 1588) server, NTP server and configuration</v>
      </c>
      <c r="P19" s="5" t="s">
        <v>14</v>
      </c>
      <c r="Q19" s="5"/>
      <c r="R19" s="30" t="s">
        <v>135</v>
      </c>
      <c r="S19" s="30" t="str">
        <f>HLOOKUP(Language!$C$3,Language!$E$1:$Z489,13,FALSE)</f>
        <v>RJ45 copper 100BASE-TX for PTP (IEEE 1588) server, NTP server and configuration</v>
      </c>
      <c r="T19" s="5" t="s">
        <v>14</v>
      </c>
      <c r="U19" s="5"/>
      <c r="V19" s="30" t="s">
        <v>135</v>
      </c>
      <c r="W19" s="30" t="str">
        <f>HLOOKUP(Language!$C$3,Language!$E$1:$Z489,13,FALSE)</f>
        <v>RJ45 copper 100BASE-TX for PTP (IEEE 1588) server, NTP server and configuration</v>
      </c>
      <c r="X19" s="5" t="s">
        <v>14</v>
      </c>
      <c r="Y19" s="5"/>
      <c r="Z19" s="30" t="s">
        <v>135</v>
      </c>
      <c r="AA19" s="30" t="str">
        <f>HLOOKUP(Language!$C$3,Language!$E$1:$Z489,13,FALSE)</f>
        <v>RJ45 copper 100BASE-TX for PTP (IEEE 1588) server, NTP server and configuration</v>
      </c>
      <c r="AB19" s="5" t="s">
        <v>14</v>
      </c>
      <c r="AC19" s="5"/>
      <c r="AD19" s="30" t="s">
        <v>135</v>
      </c>
    </row>
    <row r="20" spans="1:30" x14ac:dyDescent="0.25">
      <c r="A20" s="17"/>
      <c r="C20" s="73"/>
      <c r="D20" s="5"/>
      <c r="E20" s="5"/>
      <c r="F20" s="73"/>
      <c r="G20" s="73"/>
      <c r="H20" s="5"/>
      <c r="I20" s="5"/>
      <c r="J20" s="73"/>
      <c r="K20" s="73"/>
      <c r="L20" s="5"/>
      <c r="M20" s="5"/>
      <c r="N20" s="73"/>
      <c r="O20" s="73"/>
      <c r="P20" s="5"/>
      <c r="Q20" s="5"/>
      <c r="R20" s="73"/>
      <c r="S20" s="73"/>
      <c r="T20" s="5"/>
      <c r="U20" s="5"/>
      <c r="V20" s="73"/>
      <c r="W20" s="73"/>
      <c r="X20" s="5"/>
      <c r="Y20" s="5"/>
      <c r="Z20" s="73"/>
      <c r="AA20" s="73"/>
      <c r="AB20" s="5"/>
      <c r="AC20" s="5"/>
      <c r="AD20" s="73"/>
    </row>
    <row r="21" spans="1:30" x14ac:dyDescent="0.25">
      <c r="A21" s="11">
        <v>5</v>
      </c>
      <c r="B21" s="4" t="str">
        <f>HLOOKUP(Language!$C$3,Language!$E$1:$Z540,16,FALSE)</f>
        <v>Satellite constellations supported</v>
      </c>
      <c r="C21" s="11" t="str">
        <f>HLOOKUP(Language!$C$3,Language!$E$1:$Z483,17,FALSE)</f>
        <v>GPS</v>
      </c>
      <c r="D21" s="11" t="s">
        <v>0</v>
      </c>
      <c r="E21" s="11"/>
      <c r="F21" s="11" t="s">
        <v>135</v>
      </c>
      <c r="G21" s="11" t="str">
        <f>HLOOKUP(Language!$C$3,Language!$E$1:$Z483,17,FALSE)</f>
        <v>GPS</v>
      </c>
      <c r="H21" s="11" t="s">
        <v>0</v>
      </c>
      <c r="I21" s="11"/>
      <c r="J21" s="11" t="s">
        <v>135</v>
      </c>
      <c r="K21" s="11" t="str">
        <f>HLOOKUP(Language!$C$3,Language!$E$1:$Z483,17,FALSE)</f>
        <v>GPS</v>
      </c>
      <c r="L21" s="11" t="s">
        <v>0</v>
      </c>
      <c r="M21" s="11"/>
      <c r="N21" s="11" t="s">
        <v>135</v>
      </c>
      <c r="O21" s="11" t="str">
        <f>HLOOKUP(Language!$C$3,Language!$E$1:$Z483,17,FALSE)</f>
        <v>GPS</v>
      </c>
      <c r="P21" s="11" t="s">
        <v>0</v>
      </c>
      <c r="Q21" s="11"/>
      <c r="R21" s="11" t="s">
        <v>135</v>
      </c>
      <c r="S21" s="11" t="str">
        <f>HLOOKUP(Language!$C$3,Language!$E$1:$Z483,17,FALSE)</f>
        <v>GPS</v>
      </c>
      <c r="T21" s="11" t="s">
        <v>0</v>
      </c>
      <c r="U21" s="11"/>
      <c r="V21" s="11" t="s">
        <v>135</v>
      </c>
      <c r="W21" s="11" t="str">
        <f>HLOOKUP(Language!$C$3,Language!$E$1:$Z483,17,FALSE)</f>
        <v>GPS</v>
      </c>
      <c r="X21" s="11" t="s">
        <v>0</v>
      </c>
      <c r="Y21" s="11"/>
      <c r="Z21" s="11" t="s">
        <v>135</v>
      </c>
      <c r="AA21" s="11" t="str">
        <f>HLOOKUP(Language!$C$3,Language!$E$1:$Z483,17,FALSE)</f>
        <v>GPS</v>
      </c>
      <c r="AB21" s="11" t="s">
        <v>0</v>
      </c>
      <c r="AC21" s="11"/>
      <c r="AD21" s="11" t="s">
        <v>135</v>
      </c>
    </row>
    <row r="22" spans="1:30" x14ac:dyDescent="0.25">
      <c r="A22" s="12"/>
      <c r="B22" s="18"/>
      <c r="C22" s="12" t="str">
        <f>HLOOKUP(Language!$C$3,Language!$E$1:$Z483,18,FALSE)</f>
        <v>GPS and GLONASS</v>
      </c>
      <c r="D22" s="14" t="s">
        <v>1</v>
      </c>
      <c r="E22" s="14"/>
      <c r="F22" s="12" t="s">
        <v>135</v>
      </c>
      <c r="G22" s="12" t="str">
        <f>HLOOKUP(Language!$C$3,Language!$E$1:$Z483,18,FALSE)</f>
        <v>GPS and GLONASS</v>
      </c>
      <c r="H22" s="14" t="s">
        <v>1</v>
      </c>
      <c r="I22" s="14"/>
      <c r="J22" s="12" t="s">
        <v>135</v>
      </c>
      <c r="K22" s="12" t="str">
        <f>HLOOKUP(Language!$C$3,Language!$E$1:$Z483,18,FALSE)</f>
        <v>GPS and GLONASS</v>
      </c>
      <c r="L22" s="14" t="s">
        <v>1</v>
      </c>
      <c r="M22" s="14"/>
      <c r="N22" s="12" t="s">
        <v>135</v>
      </c>
      <c r="O22" s="12" t="str">
        <f>HLOOKUP(Language!$C$3,Language!$E$1:$Z483,18,FALSE)</f>
        <v>GPS and GLONASS</v>
      </c>
      <c r="P22" s="14" t="s">
        <v>1</v>
      </c>
      <c r="Q22" s="14"/>
      <c r="R22" s="12" t="s">
        <v>135</v>
      </c>
      <c r="S22" s="12" t="str">
        <f>HLOOKUP(Language!$C$3,Language!$E$1:$Z483,18,FALSE)</f>
        <v>GPS and GLONASS</v>
      </c>
      <c r="T22" s="14" t="s">
        <v>1</v>
      </c>
      <c r="U22" s="14"/>
      <c r="V22" s="12" t="s">
        <v>135</v>
      </c>
      <c r="W22" s="12" t="str">
        <f>HLOOKUP(Language!$C$3,Language!$E$1:$Z483,18,FALSE)</f>
        <v>GPS and GLONASS</v>
      </c>
      <c r="X22" s="14" t="s">
        <v>1</v>
      </c>
      <c r="Y22" s="14"/>
      <c r="Z22" s="12" t="s">
        <v>135</v>
      </c>
      <c r="AA22" s="12" t="str">
        <f>HLOOKUP(Language!$C$3,Language!$E$1:$Z483,18,FALSE)</f>
        <v>GPS and GLONASS</v>
      </c>
      <c r="AB22" s="14" t="s">
        <v>1</v>
      </c>
      <c r="AC22" s="14"/>
      <c r="AD22" s="12" t="s">
        <v>135</v>
      </c>
    </row>
    <row r="23" spans="1:30" x14ac:dyDescent="0.25">
      <c r="A23" s="17"/>
      <c r="C23" s="73"/>
      <c r="D23" s="5"/>
      <c r="E23" s="5"/>
      <c r="F23" s="73"/>
      <c r="G23" s="73"/>
      <c r="H23" s="5"/>
      <c r="I23" s="5"/>
      <c r="J23" s="73"/>
      <c r="K23" s="73"/>
      <c r="L23" s="5"/>
      <c r="M23" s="5"/>
      <c r="N23" s="73"/>
      <c r="O23" s="73"/>
      <c r="P23" s="5"/>
      <c r="Q23" s="5"/>
      <c r="R23" s="73"/>
      <c r="S23" s="73"/>
      <c r="T23" s="5"/>
      <c r="U23" s="5"/>
      <c r="V23" s="73"/>
      <c r="W23" s="73"/>
      <c r="X23" s="5"/>
      <c r="Y23" s="5"/>
      <c r="Z23" s="73"/>
      <c r="AA23" s="73"/>
      <c r="AB23" s="5"/>
      <c r="AC23" s="5"/>
      <c r="AD23" s="73"/>
    </row>
    <row r="24" spans="1:30" x14ac:dyDescent="0.25">
      <c r="A24" s="11">
        <v>6</v>
      </c>
      <c r="B24" s="4" t="str">
        <f>HLOOKUP(Language!$C$3,Language!$E$1:$Z542,19,FALSE)</f>
        <v>Oscillator Type</v>
      </c>
      <c r="C24" s="11" t="str">
        <f>HLOOKUP(Language!$C$3,Language!$E$1:$Z518,20,FALSE)</f>
        <v>TCXO</v>
      </c>
      <c r="D24" s="182">
        <v>2</v>
      </c>
      <c r="E24" s="11"/>
      <c r="F24" s="11" t="s">
        <v>135</v>
      </c>
      <c r="G24" s="11" t="str">
        <f>HLOOKUP(Language!$C$3,Language!$E$1:$Z518,20,FALSE)</f>
        <v>TCXO</v>
      </c>
      <c r="H24" s="182">
        <v>2</v>
      </c>
      <c r="I24" s="11"/>
      <c r="J24" s="11" t="s">
        <v>135</v>
      </c>
      <c r="K24" s="11" t="str">
        <f>HLOOKUP(Language!$C$3,Language!$E$1:$Z518,20,FALSE)</f>
        <v>TCXO</v>
      </c>
      <c r="L24" s="182">
        <v>2</v>
      </c>
      <c r="M24" s="11"/>
      <c r="N24" s="11" t="s">
        <v>135</v>
      </c>
      <c r="O24" s="11" t="str">
        <f>HLOOKUP(Language!$C$3,Language!$E$1:$Z518,20,FALSE)</f>
        <v>TCXO</v>
      </c>
      <c r="P24" s="182">
        <v>2</v>
      </c>
      <c r="Q24" s="11"/>
      <c r="R24" s="11" t="s">
        <v>135</v>
      </c>
      <c r="S24" s="11" t="str">
        <f>HLOOKUP(Language!$C$3,Language!$E$1:$Z518,20,FALSE)</f>
        <v>TCXO</v>
      </c>
      <c r="T24" s="182">
        <v>2</v>
      </c>
      <c r="U24" s="11"/>
      <c r="V24" s="11" t="s">
        <v>135</v>
      </c>
      <c r="W24" s="11" t="str">
        <f>HLOOKUP(Language!$C$3,Language!$E$1:$Z518,20,FALSE)</f>
        <v>TCXO</v>
      </c>
      <c r="X24" s="182">
        <v>2</v>
      </c>
      <c r="Y24" s="11"/>
      <c r="Z24" s="11" t="s">
        <v>135</v>
      </c>
      <c r="AA24" s="11" t="str">
        <f>HLOOKUP(Language!$C$3,Language!$E$1:$Z518,20,FALSE)</f>
        <v>TCXO</v>
      </c>
      <c r="AB24" s="182">
        <v>2</v>
      </c>
      <c r="AC24" s="11"/>
      <c r="AD24" s="11" t="s">
        <v>135</v>
      </c>
    </row>
    <row r="25" spans="1:30" x14ac:dyDescent="0.25">
      <c r="A25" s="12"/>
      <c r="C25" s="12" t="str">
        <f>HLOOKUP(Language!$C$3,Language!$E$1:$Z519,21,FALSE)</f>
        <v>OCXO</v>
      </c>
      <c r="D25" s="183">
        <v>3</v>
      </c>
      <c r="E25" s="14"/>
      <c r="F25" s="12" t="s">
        <v>20</v>
      </c>
      <c r="G25" s="12" t="str">
        <f>HLOOKUP(Language!$C$3,Language!$E$1:$Z519,21,FALSE)</f>
        <v>OCXO</v>
      </c>
      <c r="H25" s="183">
        <v>3</v>
      </c>
      <c r="I25" s="14"/>
      <c r="J25" s="12" t="s">
        <v>20</v>
      </c>
      <c r="K25" s="12" t="str">
        <f>HLOOKUP(Language!$C$3,Language!$E$1:$Z519,21,FALSE)</f>
        <v>OCXO</v>
      </c>
      <c r="L25" s="183">
        <v>3</v>
      </c>
      <c r="M25" s="14"/>
      <c r="N25" s="12" t="s">
        <v>20</v>
      </c>
      <c r="O25" s="12" t="str">
        <f>HLOOKUP(Language!$C$3,Language!$E$1:$Z519,21,FALSE)</f>
        <v>OCXO</v>
      </c>
      <c r="P25" s="183">
        <v>3</v>
      </c>
      <c r="Q25" s="14"/>
      <c r="R25" s="12" t="s">
        <v>20</v>
      </c>
      <c r="S25" s="12" t="str">
        <f>HLOOKUP(Language!$C$3,Language!$E$1:$Z519,21,FALSE)</f>
        <v>OCXO</v>
      </c>
      <c r="T25" s="183">
        <v>3</v>
      </c>
      <c r="U25" s="14"/>
      <c r="V25" s="12" t="s">
        <v>20</v>
      </c>
      <c r="W25" s="12" t="str">
        <f>HLOOKUP(Language!$C$3,Language!$E$1:$Z519,21,FALSE)</f>
        <v>OCXO</v>
      </c>
      <c r="X25" s="183">
        <v>3</v>
      </c>
      <c r="Y25" s="14"/>
      <c r="Z25" s="12" t="s">
        <v>20</v>
      </c>
      <c r="AA25" s="12" t="str">
        <f>HLOOKUP(Language!$C$3,Language!$E$1:$Z519,21,FALSE)</f>
        <v>OCXO</v>
      </c>
      <c r="AB25" s="183">
        <v>3</v>
      </c>
      <c r="AC25" s="14"/>
      <c r="AD25" s="12" t="s">
        <v>20</v>
      </c>
    </row>
    <row r="26" spans="1:30" x14ac:dyDescent="0.25">
      <c r="A26" s="12"/>
      <c r="C26" s="12"/>
      <c r="D26" s="14"/>
      <c r="E26" s="14"/>
      <c r="F26" s="17"/>
      <c r="G26" s="12"/>
      <c r="H26" s="14"/>
      <c r="I26" s="14"/>
      <c r="J26" s="17"/>
      <c r="K26" s="12"/>
      <c r="L26" s="14"/>
      <c r="M26" s="14"/>
      <c r="N26" s="17"/>
      <c r="O26" s="12"/>
      <c r="P26" s="14"/>
      <c r="Q26" s="14"/>
      <c r="R26" s="17"/>
      <c r="S26" s="12"/>
      <c r="T26" s="14"/>
      <c r="U26" s="14"/>
      <c r="V26" s="17"/>
      <c r="W26" s="12"/>
      <c r="X26" s="14"/>
      <c r="Y26" s="14"/>
      <c r="Z26" s="17"/>
      <c r="AA26" s="12"/>
      <c r="AB26" s="14"/>
      <c r="AC26" s="14"/>
      <c r="AD26" s="17"/>
    </row>
    <row r="27" spans="1:30" x14ac:dyDescent="0.25">
      <c r="A27" s="11">
        <v>7</v>
      </c>
      <c r="B27" s="6" t="str">
        <f>HLOOKUP(Language!$C$3,Language!$E$1:$Z540,22,FALSE)</f>
        <v>Customization / Regionalisation</v>
      </c>
      <c r="C27" s="11" t="str">
        <f>HLOOKUP(Language!$C$3,Language!$E$1:$Z535,23,FALSE)</f>
        <v>Default</v>
      </c>
      <c r="D27" s="11" t="s">
        <v>0</v>
      </c>
      <c r="E27" s="11"/>
      <c r="F27" s="11" t="s">
        <v>135</v>
      </c>
      <c r="G27" s="11" t="str">
        <f>HLOOKUP(Language!$C$3,Language!$E$1:$Z535,59,FALSE)</f>
        <v>GE branding</v>
      </c>
      <c r="H27" s="11" t="s">
        <v>2</v>
      </c>
      <c r="I27" s="11"/>
      <c r="J27" s="11" t="s">
        <v>135</v>
      </c>
      <c r="K27" s="11" t="str">
        <f>HLOOKUP(Language!$C$3,Language!$E$1:$Z535,59,FALSE)</f>
        <v>GE branding</v>
      </c>
      <c r="L27" s="11" t="s">
        <v>2</v>
      </c>
      <c r="M27" s="11"/>
      <c r="N27" s="11" t="s">
        <v>135</v>
      </c>
      <c r="O27" s="11" t="str">
        <f>HLOOKUP(Language!$C$3,Language!$E$1:$Z535,59,FALSE)</f>
        <v>GE branding</v>
      </c>
      <c r="P27" s="11" t="s">
        <v>2</v>
      </c>
      <c r="Q27" s="11"/>
      <c r="R27" s="11" t="s">
        <v>135</v>
      </c>
      <c r="S27" s="11" t="str">
        <f>HLOOKUP(Language!$C$3,Language!$E$1:$Z535,59,FALSE)</f>
        <v>GE branding</v>
      </c>
      <c r="T27" s="11" t="s">
        <v>2</v>
      </c>
      <c r="U27" s="11"/>
      <c r="V27" s="11" t="s">
        <v>135</v>
      </c>
      <c r="W27" s="11" t="str">
        <f>HLOOKUP(Language!$C$3,Language!$E$1:$Z535,59,FALSE)</f>
        <v>GE branding</v>
      </c>
      <c r="X27" s="11" t="s">
        <v>2</v>
      </c>
      <c r="Y27" s="11"/>
      <c r="Z27" s="11" t="s">
        <v>135</v>
      </c>
      <c r="AA27" s="11" t="str">
        <f>HLOOKUP(Language!$C$3,Language!$E$1:$Z535,59,FALSE)</f>
        <v>GE branding</v>
      </c>
      <c r="AB27" s="11" t="s">
        <v>2</v>
      </c>
      <c r="AC27" s="11"/>
      <c r="AD27" s="11" t="s">
        <v>135</v>
      </c>
    </row>
    <row r="28" spans="1:30" x14ac:dyDescent="0.25">
      <c r="A28" s="12"/>
      <c r="B28" s="18"/>
      <c r="C28" s="12" t="str">
        <f>HLOOKUP(Language!$C$3,Language!$E$1:$Z536,24,FALSE)</f>
        <v>Reason branding</v>
      </c>
      <c r="D28" s="14" t="s">
        <v>1</v>
      </c>
      <c r="E28" s="14"/>
      <c r="F28" s="12" t="s">
        <v>135</v>
      </c>
      <c r="G28" s="12"/>
      <c r="H28" s="14"/>
      <c r="I28" s="14"/>
      <c r="J28" s="12"/>
      <c r="K28" s="12"/>
      <c r="L28" s="14"/>
      <c r="M28" s="14"/>
      <c r="N28" s="12"/>
      <c r="O28" s="12"/>
      <c r="P28" s="14"/>
      <c r="Q28" s="14"/>
      <c r="R28" s="12"/>
      <c r="S28" s="12"/>
      <c r="T28" s="14"/>
      <c r="U28" s="14"/>
      <c r="V28" s="12"/>
      <c r="W28" s="12"/>
      <c r="X28" s="14"/>
      <c r="Y28" s="14"/>
      <c r="Z28" s="12"/>
      <c r="AA28" s="12"/>
      <c r="AB28" s="14"/>
      <c r="AC28" s="14"/>
      <c r="AD28" s="12"/>
    </row>
    <row r="29" spans="1:30" x14ac:dyDescent="0.25">
      <c r="A29" s="17"/>
      <c r="C29" s="73"/>
      <c r="D29" s="5"/>
      <c r="E29" s="5"/>
      <c r="F29" s="73"/>
      <c r="G29" s="73"/>
      <c r="H29" s="5"/>
      <c r="I29" s="5"/>
      <c r="J29" s="73"/>
      <c r="K29" s="73"/>
      <c r="L29" s="5"/>
      <c r="M29" s="5"/>
      <c r="N29" s="73"/>
      <c r="O29" s="73"/>
      <c r="P29" s="5"/>
      <c r="Q29" s="5"/>
      <c r="R29" s="73"/>
      <c r="S29" s="73"/>
      <c r="T29" s="5"/>
      <c r="U29" s="5"/>
      <c r="V29" s="73"/>
      <c r="W29" s="73"/>
      <c r="X29" s="5"/>
      <c r="Y29" s="5"/>
      <c r="Z29" s="73"/>
      <c r="AA29" s="73"/>
      <c r="AB29" s="5"/>
      <c r="AC29" s="5"/>
      <c r="AD29" s="73"/>
    </row>
    <row r="30" spans="1:30" x14ac:dyDescent="0.25">
      <c r="A30" s="11">
        <v>8</v>
      </c>
      <c r="B30" s="91" t="str">
        <f>HLOOKUP(Language!$C$3,Language!$E$1:$Z532,25,FALSE)</f>
        <v>Firmware Version</v>
      </c>
      <c r="C30" s="11" t="str">
        <f>CONCATENATE(HLOOKUP(Language!$C$3,Language!$E$1:$Z527,26,FALSE)," - 07")</f>
        <v>Latest available firmware - 07</v>
      </c>
      <c r="D30" s="182" t="s">
        <v>125</v>
      </c>
      <c r="E30" s="11"/>
      <c r="F30" s="11" t="s">
        <v>135</v>
      </c>
      <c r="G30" s="11" t="str">
        <f>CONCATENATE(HLOOKUP(Language!$C$3,Language!$E$1:$Z527,26,FALSE)," - 07")</f>
        <v>Latest available firmware - 07</v>
      </c>
      <c r="H30" s="182" t="s">
        <v>125</v>
      </c>
      <c r="I30" s="11"/>
      <c r="J30" s="11" t="s">
        <v>135</v>
      </c>
      <c r="K30" s="11" t="str">
        <f>CONCATENATE(HLOOKUP(Language!$C$3,Language!$E$1:$Z527,26,FALSE)," - 07")</f>
        <v>Latest available firmware - 07</v>
      </c>
      <c r="L30" s="182" t="s">
        <v>125</v>
      </c>
      <c r="M30" s="11"/>
      <c r="N30" s="11" t="s">
        <v>135</v>
      </c>
      <c r="O30" s="11" t="str">
        <f>CONCATENATE(HLOOKUP(Language!$C$3,Language!$E$1:$Z527,26,FALSE)," - 08")</f>
        <v>Latest available firmware - 08</v>
      </c>
      <c r="P30" s="182" t="s">
        <v>207</v>
      </c>
      <c r="Q30" s="11"/>
      <c r="R30" s="11" t="s">
        <v>135</v>
      </c>
      <c r="S30" s="11" t="str">
        <f>CONCATENATE(HLOOKUP(Language!$C$3,Language!$E$1:$Z527,26,FALSE)," - 08")</f>
        <v>Latest available firmware - 08</v>
      </c>
      <c r="T30" s="182" t="s">
        <v>207</v>
      </c>
      <c r="U30" s="11"/>
      <c r="V30" s="11" t="s">
        <v>135</v>
      </c>
      <c r="W30" s="11" t="str">
        <f>CONCATENATE(HLOOKUP(Language!$C$3,Language!$E$1:$Z527,26,FALSE)," - 08")</f>
        <v>Latest available firmware - 08</v>
      </c>
      <c r="X30" s="182" t="s">
        <v>207</v>
      </c>
      <c r="Y30" s="11"/>
      <c r="Z30" s="11" t="s">
        <v>135</v>
      </c>
      <c r="AA30" s="11" t="str">
        <f>CONCATENATE(HLOOKUP(Language!$C$3,Language!$E$1:$Z527,26,FALSE)," - 08")</f>
        <v>Latest available firmware - 08</v>
      </c>
      <c r="AB30" s="182" t="s">
        <v>207</v>
      </c>
      <c r="AC30" s="11"/>
      <c r="AD30" s="11" t="s">
        <v>135</v>
      </c>
    </row>
    <row r="31" spans="1:30" x14ac:dyDescent="0.25">
      <c r="A31" s="12"/>
      <c r="B31" s="18"/>
      <c r="C31" s="12"/>
      <c r="D31" s="14"/>
      <c r="E31" s="14"/>
      <c r="F31" s="12"/>
      <c r="G31" s="12"/>
      <c r="H31" s="14"/>
      <c r="I31" s="14"/>
      <c r="J31" s="12"/>
      <c r="K31" s="12"/>
      <c r="L31" s="14"/>
      <c r="M31" s="14"/>
      <c r="N31" s="12"/>
      <c r="O31" s="12" t="str">
        <f>CONCATENATE(HLOOKUP(Language!$C$3,Language!$E$1:$Z528,27,FALSE)," - 07")</f>
        <v>Firmware version number - 07</v>
      </c>
      <c r="P31" s="14" t="s">
        <v>125</v>
      </c>
      <c r="Q31" s="14"/>
      <c r="R31" s="12" t="s">
        <v>135</v>
      </c>
      <c r="S31" s="12" t="str">
        <f>CONCATENATE(HLOOKUP(Language!$C$3,Language!$E$1:$Z528,27,FALSE)," - 07")</f>
        <v>Firmware version number - 07</v>
      </c>
      <c r="T31" s="14" t="s">
        <v>125</v>
      </c>
      <c r="U31" s="14"/>
      <c r="V31" s="12" t="s">
        <v>135</v>
      </c>
      <c r="W31" s="12" t="str">
        <f>CONCATENATE(HLOOKUP(Language!$C$3,Language!$E$1:$Z528,27,FALSE)," - 07 ",HLOOKUP(Language!$C$3,Language!$E$1:$Z528,75,FALSE))</f>
        <v>Firmware version number - 07 (withdraw)</v>
      </c>
      <c r="X31" s="14" t="s">
        <v>125</v>
      </c>
      <c r="Y31" s="14"/>
      <c r="Z31" s="12" t="s">
        <v>20</v>
      </c>
      <c r="AA31" s="12" t="str">
        <f>CONCATENATE(HLOOKUP(Language!$C$3,Language!$E$1:$Z528,27,FALSE)," - 07 ",HLOOKUP(Language!$C$3,Language!$E$1:$Z528,75,FALSE))</f>
        <v>Firmware version number - 07 (withdraw)</v>
      </c>
      <c r="AB31" s="14" t="s">
        <v>125</v>
      </c>
      <c r="AC31" s="14"/>
      <c r="AD31" s="12" t="s">
        <v>20</v>
      </c>
    </row>
    <row r="32" spans="1:30" x14ac:dyDescent="0.25">
      <c r="A32" s="12"/>
      <c r="B32" s="18"/>
      <c r="C32" s="17"/>
      <c r="D32" s="14"/>
      <c r="E32" s="14"/>
      <c r="F32" s="17"/>
      <c r="G32" s="17"/>
      <c r="H32" s="14"/>
      <c r="I32" s="14"/>
      <c r="J32" s="17"/>
      <c r="K32" s="17"/>
      <c r="L32" s="14"/>
      <c r="M32" s="14"/>
      <c r="N32" s="17"/>
      <c r="O32" s="17"/>
      <c r="P32" s="14"/>
      <c r="Q32" s="14"/>
      <c r="R32" s="17"/>
      <c r="S32" s="17"/>
      <c r="T32" s="14"/>
      <c r="U32" s="14"/>
      <c r="V32" s="17"/>
      <c r="W32" s="17"/>
      <c r="X32" s="14"/>
      <c r="Y32" s="14"/>
      <c r="Z32" s="17"/>
      <c r="AA32" s="17"/>
      <c r="AB32" s="14"/>
      <c r="AC32" s="14"/>
      <c r="AD32" s="17"/>
    </row>
    <row r="33" spans="1:30" x14ac:dyDescent="0.25">
      <c r="A33" s="11">
        <v>9</v>
      </c>
      <c r="B33" s="4" t="str">
        <f>HLOOKUP(Language!$C$3,Language!$E$1:$Z528,29,FALSE)</f>
        <v>Hardware Design Suffix</v>
      </c>
      <c r="C33" s="11" t="str">
        <f>HLOOKUP(Language!$C$3,Language!$E$1:$Z492,30,FALSE)</f>
        <v>GNSS version</v>
      </c>
      <c r="D33" s="178" t="s">
        <v>1</v>
      </c>
      <c r="E33" s="13"/>
      <c r="F33" s="11" t="s">
        <v>135</v>
      </c>
      <c r="G33" s="11" t="str">
        <f>HLOOKUP(Language!$C$3,Language!$E$1:$Z492,30,FALSE)</f>
        <v>GNSS version</v>
      </c>
      <c r="H33" s="178" t="s">
        <v>1</v>
      </c>
      <c r="I33" s="13"/>
      <c r="J33" s="11" t="s">
        <v>135</v>
      </c>
      <c r="K33" s="11" t="str">
        <f>HLOOKUP(Language!$C$3,Language!$E$1:$Z492,30,FALSE)</f>
        <v>GNSS version</v>
      </c>
      <c r="L33" s="178" t="s">
        <v>1</v>
      </c>
      <c r="M33" s="13"/>
      <c r="N33" s="11" t="s">
        <v>135</v>
      </c>
      <c r="O33" s="11" t="str">
        <f>HLOOKUP(Language!$C$3,Language!$E$1:$Z492,30,FALSE)</f>
        <v>GNSS version</v>
      </c>
      <c r="P33" s="178" t="s">
        <v>1</v>
      </c>
      <c r="Q33" s="13"/>
      <c r="R33" s="11" t="s">
        <v>135</v>
      </c>
      <c r="S33" s="11" t="str">
        <f>HLOOKUP(Language!$C$3,Language!$E$1:$Z492,30,FALSE)</f>
        <v>GNSS version</v>
      </c>
      <c r="T33" s="178" t="s">
        <v>1</v>
      </c>
      <c r="U33" s="13"/>
      <c r="V33" s="11" t="s">
        <v>135</v>
      </c>
      <c r="W33" s="11" t="str">
        <f>HLOOKUP(Language!$C$3,Language!$E$1:$Z492,30,FALSE)</f>
        <v>GNSS version</v>
      </c>
      <c r="X33" s="178" t="s">
        <v>1</v>
      </c>
      <c r="Y33" s="13"/>
      <c r="Z33" s="11" t="s">
        <v>135</v>
      </c>
      <c r="AA33" s="11" t="str">
        <f>HLOOKUP(Language!$C$3,Language!$E$1:$Z492,30,FALSE)</f>
        <v>GNSS version</v>
      </c>
      <c r="AB33" s="178" t="s">
        <v>1</v>
      </c>
      <c r="AC33" s="13"/>
      <c r="AD33" s="11" t="s">
        <v>135</v>
      </c>
    </row>
    <row r="34" spans="1:30" x14ac:dyDescent="0.25">
      <c r="A34" s="17"/>
      <c r="C34" s="73"/>
      <c r="D34" s="5"/>
      <c r="E34" s="5"/>
      <c r="F34" s="73"/>
      <c r="G34" s="73"/>
      <c r="H34" s="5"/>
      <c r="I34" s="5"/>
      <c r="J34" s="73"/>
      <c r="K34" s="73"/>
      <c r="L34" s="5"/>
      <c r="M34" s="5"/>
      <c r="N34" s="73"/>
      <c r="O34" s="73"/>
      <c r="P34" s="5"/>
      <c r="Q34" s="5"/>
      <c r="R34" s="73"/>
      <c r="S34" s="73"/>
      <c r="T34" s="5"/>
      <c r="U34" s="5"/>
      <c r="V34" s="73"/>
      <c r="W34" s="73"/>
      <c r="X34" s="5"/>
      <c r="Y34" s="5"/>
      <c r="Z34" s="73"/>
      <c r="AA34" s="73"/>
      <c r="AB34" s="5"/>
      <c r="AC34" s="5"/>
      <c r="AD34" s="73"/>
    </row>
    <row r="35" spans="1:30" x14ac:dyDescent="0.25">
      <c r="A35" s="11">
        <v>10</v>
      </c>
      <c r="B35" s="179" t="str">
        <f>HLOOKUP(Language!$C$3,Language!$E$1:$Z513,31,FALSE)</f>
        <v>GPS Antenna</v>
      </c>
      <c r="C35" s="11" t="str">
        <f>HLOOKUP(Language!$C$3,Language!$E$1:$Z486,32,FALSE)</f>
        <v>Without antenna</v>
      </c>
      <c r="D35" s="11">
        <v>0</v>
      </c>
      <c r="E35" s="11"/>
      <c r="F35" s="11" t="s">
        <v>135</v>
      </c>
      <c r="G35" s="11" t="str">
        <f>HLOOKUP(Language!$C$3,Language!$E$1:$Z486,32,FALSE)</f>
        <v>Without antenna</v>
      </c>
      <c r="H35" s="11">
        <v>0</v>
      </c>
      <c r="I35" s="11"/>
      <c r="J35" s="11" t="s">
        <v>135</v>
      </c>
      <c r="K35" s="11" t="str">
        <f>HLOOKUP(Language!$C$3,Language!$E$1:$Z486,32,FALSE)</f>
        <v>Without antenna</v>
      </c>
      <c r="L35" s="11">
        <v>0</v>
      </c>
      <c r="M35" s="11"/>
      <c r="N35" s="11" t="s">
        <v>135</v>
      </c>
      <c r="O35" s="11" t="str">
        <f>HLOOKUP(Language!$C$3,Language!$E$1:$Z486,32,FALSE)</f>
        <v>Without antenna</v>
      </c>
      <c r="P35" s="11">
        <v>0</v>
      </c>
      <c r="Q35" s="11"/>
      <c r="R35" s="11" t="s">
        <v>135</v>
      </c>
      <c r="S35" s="11" t="str">
        <f>HLOOKUP(Language!$C$3,Language!$E$1:$Z486,32,FALSE)</f>
        <v>Without antenna</v>
      </c>
      <c r="T35" s="11">
        <v>0</v>
      </c>
      <c r="U35" s="11"/>
      <c r="V35" s="11" t="s">
        <v>135</v>
      </c>
      <c r="W35" s="11" t="str">
        <f>HLOOKUP(Language!$C$3,Language!$E$1:$Z486,32,FALSE)</f>
        <v>Without antenna</v>
      </c>
      <c r="X35" s="11">
        <v>0</v>
      </c>
      <c r="Y35" s="11"/>
      <c r="Z35" s="11" t="s">
        <v>135</v>
      </c>
      <c r="AA35" s="11" t="str">
        <f>HLOOKUP(Language!$C$3,Language!$E$1:$Z486,32,FALSE)</f>
        <v>Without antenna</v>
      </c>
      <c r="AB35" s="11">
        <v>0</v>
      </c>
      <c r="AC35" s="11"/>
      <c r="AD35" s="11" t="s">
        <v>135</v>
      </c>
    </row>
    <row r="36" spans="1:30" x14ac:dyDescent="0.25">
      <c r="A36" s="12"/>
      <c r="B36" s="180"/>
      <c r="C36" s="12" t="str">
        <f>HLOOKUP(Language!$C$3,Language!$E$1:$Z486,33,FALSE)</f>
        <v>3.3V TNC Female active GNSS antenna</v>
      </c>
      <c r="D36" s="14">
        <v>2</v>
      </c>
      <c r="E36" s="14"/>
      <c r="F36" s="14" t="s">
        <v>135</v>
      </c>
      <c r="G36" s="12" t="str">
        <f>HLOOKUP(Language!$C$3,Language!$E$1:$Z486,33,FALSE)</f>
        <v>3.3V TNC Female active GNSS antenna</v>
      </c>
      <c r="H36" s="14">
        <v>2</v>
      </c>
      <c r="I36" s="14"/>
      <c r="J36" s="14" t="s">
        <v>135</v>
      </c>
      <c r="K36" s="12" t="str">
        <f>HLOOKUP(Language!$C$3,Language!$E$1:$Z486,33,FALSE)</f>
        <v>3.3V TNC Female active GNSS antenna</v>
      </c>
      <c r="L36" s="14">
        <v>2</v>
      </c>
      <c r="M36" s="14"/>
      <c r="N36" s="14" t="s">
        <v>135</v>
      </c>
      <c r="O36" s="12" t="str">
        <f>HLOOKUP(Language!$C$3,Language!$E$1:$Z486,33,FALSE)</f>
        <v>3.3V TNC Female active GNSS antenna</v>
      </c>
      <c r="P36" s="14">
        <v>2</v>
      </c>
      <c r="Q36" s="14"/>
      <c r="R36" s="14" t="s">
        <v>135</v>
      </c>
      <c r="S36" s="12" t="str">
        <f>HLOOKUP(Language!$C$3,Language!$E$1:$Z486,33,FALSE)</f>
        <v>3.3V TNC Female active GNSS antenna</v>
      </c>
      <c r="T36" s="14">
        <v>2</v>
      </c>
      <c r="U36" s="14"/>
      <c r="V36" s="14" t="s">
        <v>135</v>
      </c>
      <c r="W36" s="12" t="str">
        <f>HLOOKUP(Language!$C$3,Language!$E$1:$Z486,33,FALSE)</f>
        <v>3.3V TNC Female active GNSS antenna</v>
      </c>
      <c r="X36" s="14">
        <v>2</v>
      </c>
      <c r="Y36" s="14"/>
      <c r="Z36" s="14" t="s">
        <v>135</v>
      </c>
      <c r="AA36" s="12" t="str">
        <f>HLOOKUP(Language!$C$3,Language!$E$1:$Z486,33,FALSE)</f>
        <v>3.3V TNC Female active GNSS antenna</v>
      </c>
      <c r="AB36" s="14">
        <v>2</v>
      </c>
      <c r="AC36" s="14"/>
      <c r="AD36" s="14" t="s">
        <v>135</v>
      </c>
    </row>
    <row r="37" spans="1:30" x14ac:dyDescent="0.25">
      <c r="A37" s="17"/>
      <c r="B37" s="181"/>
      <c r="C37" s="17"/>
      <c r="D37" s="20"/>
      <c r="E37" s="20"/>
      <c r="F37" s="20"/>
      <c r="G37" s="17"/>
      <c r="H37" s="20"/>
      <c r="I37" s="20"/>
      <c r="J37" s="20"/>
      <c r="K37" s="17"/>
      <c r="L37" s="20"/>
      <c r="M37" s="20"/>
      <c r="N37" s="20"/>
      <c r="O37" s="17"/>
      <c r="P37" s="20"/>
      <c r="Q37" s="20"/>
      <c r="R37" s="20"/>
      <c r="S37" s="17"/>
      <c r="T37" s="20"/>
      <c r="U37" s="20"/>
      <c r="V37" s="20"/>
      <c r="W37" s="17"/>
      <c r="X37" s="20"/>
      <c r="Y37" s="20"/>
      <c r="Z37" s="20"/>
      <c r="AA37" s="17"/>
      <c r="AB37" s="20"/>
      <c r="AC37" s="20"/>
      <c r="AD37" s="20"/>
    </row>
    <row r="38" spans="1:30" x14ac:dyDescent="0.25">
      <c r="A38" s="11">
        <v>11</v>
      </c>
      <c r="B38" s="179" t="str">
        <f>HLOOKUP(Language!$C$3,Language!$E$1:$Z516,34,FALSE)</f>
        <v>Antenna Cable</v>
      </c>
      <c r="C38" s="11" t="str">
        <f>HLOOKUP(Language!$C$3,Language!$E$1:$Z489,35,FALSE)</f>
        <v>No cable</v>
      </c>
      <c r="D38" s="11">
        <v>0</v>
      </c>
      <c r="E38" s="11"/>
      <c r="F38" s="11" t="s">
        <v>135</v>
      </c>
      <c r="G38" s="11" t="str">
        <f>HLOOKUP(Language!$C$3,Language!$E$1:$Z489,35,FALSE)</f>
        <v>No cable</v>
      </c>
      <c r="H38" s="11">
        <v>0</v>
      </c>
      <c r="I38" s="11"/>
      <c r="J38" s="11" t="s">
        <v>135</v>
      </c>
      <c r="K38" s="11" t="str">
        <f>HLOOKUP(Language!$C$3,Language!$E$1:$Z489,35,FALSE)</f>
        <v>No cable</v>
      </c>
      <c r="L38" s="11">
        <v>0</v>
      </c>
      <c r="M38" s="11"/>
      <c r="N38" s="11" t="s">
        <v>135</v>
      </c>
      <c r="O38" s="11" t="str">
        <f>HLOOKUP(Language!$C$3,Language!$E$1:$Z489,35,FALSE)</f>
        <v>No cable</v>
      </c>
      <c r="P38" s="11">
        <v>0</v>
      </c>
      <c r="Q38" s="11"/>
      <c r="R38" s="11" t="s">
        <v>135</v>
      </c>
      <c r="S38" s="11" t="str">
        <f>HLOOKUP(Language!$C$3,Language!$E$1:$Z489,35,FALSE)</f>
        <v>No cable</v>
      </c>
      <c r="T38" s="11">
        <v>0</v>
      </c>
      <c r="U38" s="11"/>
      <c r="V38" s="11" t="s">
        <v>135</v>
      </c>
      <c r="W38" s="11" t="str">
        <f>HLOOKUP(Language!$C$3,Language!$E$1:$Z489,35,FALSE)</f>
        <v>No cable</v>
      </c>
      <c r="X38" s="11">
        <v>0</v>
      </c>
      <c r="Y38" s="11"/>
      <c r="Z38" s="11" t="s">
        <v>135</v>
      </c>
      <c r="AA38" s="11" t="str">
        <f>HLOOKUP(Language!$C$3,Language!$E$1:$Z489,35,FALSE)</f>
        <v>No cable</v>
      </c>
      <c r="AB38" s="11">
        <v>0</v>
      </c>
      <c r="AC38" s="11"/>
      <c r="AD38" s="11" t="s">
        <v>135</v>
      </c>
    </row>
    <row r="39" spans="1:30" x14ac:dyDescent="0.25">
      <c r="A39" s="12"/>
      <c r="B39" s="180"/>
      <c r="C39" s="12" t="str">
        <f>HLOOKUP(Language!$C$3,Language!$E$1:$Z489,36,FALSE)</f>
        <v>15 m (50 ft) TNC Male to BNC Male (Attennuation &lt; 0,05 dB/m @ 1500 MHZ)</v>
      </c>
      <c r="D39" s="14">
        <v>1</v>
      </c>
      <c r="E39" s="14"/>
      <c r="F39" s="14" t="s">
        <v>135</v>
      </c>
      <c r="G39" s="12" t="str">
        <f>HLOOKUP(Language!$C$3,Language!$E$1:$Z489,36,FALSE)</f>
        <v>15 m (50 ft) TNC Male to BNC Male (Attennuation &lt; 0,05 dB/m @ 1500 MHZ)</v>
      </c>
      <c r="H39" s="14">
        <v>1</v>
      </c>
      <c r="I39" s="14"/>
      <c r="J39" s="14" t="s">
        <v>135</v>
      </c>
      <c r="K39" s="12" t="str">
        <f>HLOOKUP(Language!$C$3,Language!$E$1:$Z489,61,FALSE)</f>
        <v>15 m (50 ft) TNC Male to BNC Male (Attennuation &lt; 0.5 dB/m @ 1500 MHZ)</v>
      </c>
      <c r="L39" s="14">
        <v>1</v>
      </c>
      <c r="M39" s="14"/>
      <c r="N39" s="14" t="s">
        <v>135</v>
      </c>
      <c r="O39" s="12" t="str">
        <f>HLOOKUP(Language!$C$3,Language!$E$1:$Z489,61,FALSE)</f>
        <v>15 m (50 ft) TNC Male to BNC Male (Attennuation &lt; 0.5 dB/m @ 1500 MHZ)</v>
      </c>
      <c r="P39" s="14">
        <v>1</v>
      </c>
      <c r="Q39" s="14"/>
      <c r="R39" s="14" t="s">
        <v>135</v>
      </c>
      <c r="S39" s="12" t="str">
        <f>HLOOKUP(Language!$C$3,Language!$E$1:$Z489,61,FALSE)</f>
        <v>15 m (50 ft) TNC Male to BNC Male (Attennuation &lt; 0.5 dB/m @ 1500 MHZ)</v>
      </c>
      <c r="T39" s="14">
        <v>1</v>
      </c>
      <c r="U39" s="14"/>
      <c r="V39" s="14" t="s">
        <v>135</v>
      </c>
      <c r="W39" s="12" t="str">
        <f>HLOOKUP(Language!$C$3,Language!$E$1:$Z489,61,FALSE)</f>
        <v>15 m (50 ft) TNC Male to BNC Male (Attennuation &lt; 0.5 dB/m @ 1500 MHZ)</v>
      </c>
      <c r="X39" s="14">
        <v>1</v>
      </c>
      <c r="Y39" s="14"/>
      <c r="Z39" s="14" t="s">
        <v>135</v>
      </c>
      <c r="AA39" s="12" t="str">
        <f>HLOOKUP(Language!$C$3,Language!$E$1:$Z489,62,FALSE)</f>
        <v>25 m (82 ft) TNC Male to BNC Male (Attennuation &lt; 0.5 dB/m @ 1500 MHZ)</v>
      </c>
      <c r="AB39" s="14">
        <v>2</v>
      </c>
      <c r="AC39" s="14"/>
      <c r="AD39" s="14" t="s">
        <v>135</v>
      </c>
    </row>
    <row r="40" spans="1:30" x14ac:dyDescent="0.25">
      <c r="A40" s="12"/>
      <c r="B40" s="180"/>
      <c r="C40" s="12" t="str">
        <f>HLOOKUP(Language!$C$3,Language!$E$1:$Z490,37,FALSE)</f>
        <v>25 m (82 ft) TNC Male to BNC Male (Attennuation &lt; 0,05 dB/m @ 1500 MHZ)</v>
      </c>
      <c r="D40" s="14">
        <v>2</v>
      </c>
      <c r="E40" s="14"/>
      <c r="F40" s="14" t="s">
        <v>135</v>
      </c>
      <c r="G40" s="12" t="str">
        <f>HLOOKUP(Language!$C$3,Language!$E$1:$Z490,37,FALSE)</f>
        <v>25 m (82 ft) TNC Male to BNC Male (Attennuation &lt; 0,05 dB/m @ 1500 MHZ)</v>
      </c>
      <c r="H40" s="14">
        <v>2</v>
      </c>
      <c r="I40" s="14"/>
      <c r="J40" s="14" t="s">
        <v>135</v>
      </c>
      <c r="K40" s="12" t="str">
        <f>HLOOKUP(Language!$C$3,Language!$E$1:$Z490,62,FALSE)</f>
        <v>25 m (82 ft) TNC Male to BNC Male (Attennuation &lt; 0.5 dB/m @ 1500 MHZ)</v>
      </c>
      <c r="L40" s="14">
        <v>2</v>
      </c>
      <c r="M40" s="14"/>
      <c r="N40" s="14" t="s">
        <v>135</v>
      </c>
      <c r="O40" s="12" t="str">
        <f>HLOOKUP(Language!$C$3,Language!$E$1:$Z490,62,FALSE)</f>
        <v>25 m (82 ft) TNC Male to BNC Male (Attennuation &lt; 0.5 dB/m @ 1500 MHZ)</v>
      </c>
      <c r="P40" s="14">
        <v>2</v>
      </c>
      <c r="Q40" s="14"/>
      <c r="R40" s="14" t="s">
        <v>135</v>
      </c>
      <c r="S40" s="12" t="str">
        <f>HLOOKUP(Language!$C$3,Language!$E$1:$Z490,62,FALSE)</f>
        <v>25 m (82 ft) TNC Male to BNC Male (Attennuation &lt; 0.5 dB/m @ 1500 MHZ)</v>
      </c>
      <c r="T40" s="14">
        <v>2</v>
      </c>
      <c r="U40" s="14"/>
      <c r="V40" s="14" t="s">
        <v>135</v>
      </c>
      <c r="W40" s="12" t="str">
        <f>HLOOKUP(Language!$C$3,Language!$E$1:$Z490,62,FALSE)</f>
        <v>25 m (82 ft) TNC Male to BNC Male (Attennuation &lt; 0.5 dB/m @ 1500 MHZ)</v>
      </c>
      <c r="X40" s="14">
        <v>2</v>
      </c>
      <c r="Y40" s="14"/>
      <c r="Z40" s="14" t="s">
        <v>135</v>
      </c>
      <c r="AA40" s="12" t="str">
        <f>HLOOKUP(Language!$C$3,Language!$E$1:$Z490,63,FALSE)</f>
        <v>40 m (131 ft) TNC Male to BNC Male (Attennuation &lt; 0.5 dB/m @ 1500 MHZ)</v>
      </c>
      <c r="AB40" s="14">
        <v>3</v>
      </c>
      <c r="AC40" s="14"/>
      <c r="AD40" s="14" t="s">
        <v>135</v>
      </c>
    </row>
    <row r="41" spans="1:30" x14ac:dyDescent="0.25">
      <c r="A41" s="12"/>
      <c r="B41" s="180"/>
      <c r="C41" s="12" t="str">
        <f>HLOOKUP(Language!$C$3,Language!$E$1:$Z491,38,FALSE)</f>
        <v>40 m (131 ft) TNC Male to BNC Male (Attennuation &lt; 0,05 dB/m @ 1500 MHZ)</v>
      </c>
      <c r="D41" s="14">
        <v>3</v>
      </c>
      <c r="E41" s="14"/>
      <c r="F41" s="14" t="s">
        <v>135</v>
      </c>
      <c r="G41" s="12" t="str">
        <f>HLOOKUP(Language!$C$3,Language!$E$1:$Z491,38,FALSE)</f>
        <v>40 m (131 ft) TNC Male to BNC Male (Attennuation &lt; 0,05 dB/m @ 1500 MHZ)</v>
      </c>
      <c r="H41" s="14">
        <v>3</v>
      </c>
      <c r="I41" s="14"/>
      <c r="J41" s="14" t="s">
        <v>135</v>
      </c>
      <c r="K41" s="12" t="str">
        <f>HLOOKUP(Language!$C$3,Language!$E$1:$Z491,63,FALSE)</f>
        <v>40 m (131 ft) TNC Male to BNC Male (Attennuation &lt; 0.5 dB/m @ 1500 MHZ)</v>
      </c>
      <c r="L41" s="14">
        <v>3</v>
      </c>
      <c r="M41" s="14"/>
      <c r="N41" s="14" t="s">
        <v>135</v>
      </c>
      <c r="O41" s="12" t="str">
        <f>HLOOKUP(Language!$C$3,Language!$E$1:$Z491,63,FALSE)</f>
        <v>40 m (131 ft) TNC Male to BNC Male (Attennuation &lt; 0.5 dB/m @ 1500 MHZ)</v>
      </c>
      <c r="P41" s="14">
        <v>3</v>
      </c>
      <c r="Q41" s="14"/>
      <c r="R41" s="14" t="s">
        <v>135</v>
      </c>
      <c r="S41" s="12" t="str">
        <f>HLOOKUP(Language!$C$3,Language!$E$1:$Z491,63,FALSE)</f>
        <v>40 m (131 ft) TNC Male to BNC Male (Attennuation &lt; 0.5 dB/m @ 1500 MHZ)</v>
      </c>
      <c r="T41" s="14">
        <v>3</v>
      </c>
      <c r="U41" s="14"/>
      <c r="V41" s="14" t="s">
        <v>135</v>
      </c>
      <c r="W41" s="12" t="str">
        <f>HLOOKUP(Language!$C$3,Language!$E$1:$Z491,63,FALSE)</f>
        <v>40 m (131 ft) TNC Male to BNC Male (Attennuation &lt; 0.5 dB/m @ 1500 MHZ)</v>
      </c>
      <c r="X41" s="14">
        <v>3</v>
      </c>
      <c r="Y41" s="14"/>
      <c r="Z41" s="14" t="s">
        <v>135</v>
      </c>
      <c r="AA41" s="12" t="str">
        <f>HLOOKUP(Language!$C$3,Language!$E$1:$Z491,65,FALSE)</f>
        <v>100 m (328 ft) TNC Male to BNC Male (Attennuation &lt; 0.2 dB/m @ 1500 MHZ)</v>
      </c>
      <c r="AB41" s="14">
        <v>5</v>
      </c>
      <c r="AC41" s="14"/>
      <c r="AD41" s="14" t="s">
        <v>135</v>
      </c>
    </row>
    <row r="42" spans="1:30" x14ac:dyDescent="0.25">
      <c r="A42" s="12"/>
      <c r="B42" s="180"/>
      <c r="C42" s="12" t="str">
        <f>HLOOKUP(Language!$C$3,Language!$E$1:$Z492,39,FALSE)</f>
        <v>75 m (246 ft) TNC Male to BNC Male (Attennuation &lt; 0,02 dB/m @ 1500 MHZ)</v>
      </c>
      <c r="D42" s="14">
        <v>4</v>
      </c>
      <c r="E42" s="14"/>
      <c r="F42" s="14" t="s">
        <v>135</v>
      </c>
      <c r="G42" s="12" t="str">
        <f>HLOOKUP(Language!$C$3,Language!$E$1:$Z492,39,FALSE)</f>
        <v>75 m (246 ft) TNC Male to BNC Male (Attennuation &lt; 0,02 dB/m @ 1500 MHZ)</v>
      </c>
      <c r="H42" s="14">
        <v>4</v>
      </c>
      <c r="I42" s="14"/>
      <c r="J42" s="14" t="s">
        <v>135</v>
      </c>
      <c r="K42" s="12" t="str">
        <f>HLOOKUP(Language!$C$3,Language!$E$1:$Z492,64,FALSE)</f>
        <v>75 m (246 ft) TNC Male to BNC Male (Attennuation &lt; 0.2 dB/m @ 1500 MHZ)</v>
      </c>
      <c r="L42" s="14">
        <v>4</v>
      </c>
      <c r="M42" s="14"/>
      <c r="N42" s="14" t="s">
        <v>135</v>
      </c>
      <c r="O42" s="12" t="str">
        <f>HLOOKUP(Language!$C$3,Language!$E$1:$Z492,64,FALSE)</f>
        <v>75 m (246 ft) TNC Male to BNC Male (Attennuation &lt; 0.2 dB/m @ 1500 MHZ)</v>
      </c>
      <c r="P42" s="14">
        <v>4</v>
      </c>
      <c r="Q42" s="14"/>
      <c r="R42" s="14" t="s">
        <v>135</v>
      </c>
      <c r="S42" s="12" t="str">
        <f>HLOOKUP(Language!$C$3,Language!$E$1:$Z492,64,FALSE)</f>
        <v>75 m (246 ft) TNC Male to BNC Male (Attennuation &lt; 0.2 dB/m @ 1500 MHZ)</v>
      </c>
      <c r="T42" s="14">
        <v>4</v>
      </c>
      <c r="U42" s="14"/>
      <c r="V42" s="14" t="s">
        <v>135</v>
      </c>
      <c r="W42" s="12" t="str">
        <f>HLOOKUP(Language!$C$3,Language!$E$1:$Z492,64,FALSE)</f>
        <v>75 m (246 ft) TNC Male to BNC Male (Attennuation &lt; 0.2 dB/m @ 1500 MHZ)</v>
      </c>
      <c r="X42" s="14">
        <v>4</v>
      </c>
      <c r="Y42" s="14"/>
      <c r="Z42" s="14" t="s">
        <v>135</v>
      </c>
      <c r="AA42" s="12"/>
      <c r="AB42" s="14"/>
      <c r="AC42" s="14"/>
      <c r="AD42" s="14"/>
    </row>
    <row r="43" spans="1:30" x14ac:dyDescent="0.25">
      <c r="A43" s="12"/>
      <c r="B43" s="180"/>
      <c r="C43" s="12" t="str">
        <f>HLOOKUP(Language!$C$3,Language!$E$1:$Z493,40,FALSE)</f>
        <v>100 m (328 ft) TNC Male to BNC Male (Attennuation &lt; 0,02 dB/m @ 1500 MHZ)</v>
      </c>
      <c r="D43" s="14">
        <v>5</v>
      </c>
      <c r="E43" s="14"/>
      <c r="F43" s="14" t="s">
        <v>135</v>
      </c>
      <c r="G43" s="12" t="str">
        <f>HLOOKUP(Language!$C$3,Language!$E$1:$Z493,40,FALSE)</f>
        <v>100 m (328 ft) TNC Male to BNC Male (Attennuation &lt; 0,02 dB/m @ 1500 MHZ)</v>
      </c>
      <c r="H43" s="14">
        <v>5</v>
      </c>
      <c r="I43" s="14"/>
      <c r="J43" s="14" t="s">
        <v>135</v>
      </c>
      <c r="K43" s="12" t="str">
        <f>HLOOKUP(Language!$C$3,Language!$E$1:$Z493,65,FALSE)</f>
        <v>100 m (328 ft) TNC Male to BNC Male (Attennuation &lt; 0.2 dB/m @ 1500 MHZ)</v>
      </c>
      <c r="L43" s="14">
        <v>5</v>
      </c>
      <c r="M43" s="14"/>
      <c r="N43" s="14" t="s">
        <v>135</v>
      </c>
      <c r="O43" s="12" t="str">
        <f>HLOOKUP(Language!$C$3,Language!$E$1:$Z493,65,FALSE)</f>
        <v>100 m (328 ft) TNC Male to BNC Male (Attennuation &lt; 0.2 dB/m @ 1500 MHZ)</v>
      </c>
      <c r="P43" s="14">
        <v>5</v>
      </c>
      <c r="Q43" s="14"/>
      <c r="R43" s="14" t="s">
        <v>135</v>
      </c>
      <c r="S43" s="12" t="str">
        <f>HLOOKUP(Language!$C$3,Language!$E$1:$Z493,65,FALSE)</f>
        <v>100 m (328 ft) TNC Male to BNC Male (Attennuation &lt; 0.2 dB/m @ 1500 MHZ)</v>
      </c>
      <c r="T43" s="14">
        <v>5</v>
      </c>
      <c r="U43" s="14"/>
      <c r="V43" s="14" t="s">
        <v>135</v>
      </c>
      <c r="W43" s="12" t="str">
        <f>HLOOKUP(Language!$C$3,Language!$E$1:$Z493,65,FALSE)</f>
        <v>100 m (328 ft) TNC Male to BNC Male (Attennuation &lt; 0.2 dB/m @ 1500 MHZ)</v>
      </c>
      <c r="X43" s="14">
        <v>5</v>
      </c>
      <c r="Y43" s="14"/>
      <c r="Z43" s="14" t="s">
        <v>135</v>
      </c>
      <c r="AA43" s="12"/>
      <c r="AB43" s="14"/>
      <c r="AC43" s="14"/>
      <c r="AD43" s="14"/>
    </row>
    <row r="44" spans="1:30" x14ac:dyDescent="0.25">
      <c r="A44" s="17"/>
      <c r="B44" s="181"/>
      <c r="C44" s="17"/>
      <c r="D44" s="20"/>
      <c r="E44" s="20"/>
      <c r="F44" s="20"/>
      <c r="G44" s="17"/>
      <c r="H44" s="20"/>
      <c r="I44" s="20"/>
      <c r="J44" s="20"/>
      <c r="K44" s="17"/>
      <c r="L44" s="20"/>
      <c r="M44" s="20"/>
      <c r="N44" s="20"/>
      <c r="O44" s="17"/>
      <c r="P44" s="20"/>
      <c r="Q44" s="20"/>
      <c r="R44" s="20"/>
      <c r="S44" s="12" t="str">
        <f>HLOOKUP(Language!$C$3,Language!$E$1:$Z494,71,FALSE)</f>
        <v>150 m (492 ft) TNC Male to BNC Male (Attennuation &lt; 0.2 dB/m @ 1500 MHZ)</v>
      </c>
      <c r="T44" s="14">
        <v>6</v>
      </c>
      <c r="U44" s="14"/>
      <c r="V44" s="14" t="s">
        <v>135</v>
      </c>
      <c r="W44" s="12" t="str">
        <f>HLOOKUP(Language!$C$3,Language!$E$1:$Z494,71,FALSE)</f>
        <v>150 m (492 ft) TNC Male to BNC Male (Attennuation &lt; 0.2 dB/m @ 1500 MHZ)</v>
      </c>
      <c r="X44" s="14">
        <v>6</v>
      </c>
      <c r="Y44" s="14"/>
      <c r="Z44" s="14" t="s">
        <v>135</v>
      </c>
      <c r="AA44" s="12"/>
      <c r="AB44" s="14"/>
      <c r="AC44" s="14"/>
      <c r="AD44" s="14"/>
    </row>
    <row r="45" spans="1:30" x14ac:dyDescent="0.25">
      <c r="A45" s="11">
        <v>12</v>
      </c>
      <c r="B45" s="179" t="str">
        <f>HLOOKUP(Language!$C$3,Language!$E$1:$Z519,41,FALSE)</f>
        <v>Surge Arrester</v>
      </c>
      <c r="C45" s="11" t="str">
        <f>HLOOKUP(Language!$C$3,Language!$E$1:$Z492,42,FALSE)</f>
        <v>Without surge arrester</v>
      </c>
      <c r="D45" s="11">
        <v>0</v>
      </c>
      <c r="E45" s="11"/>
      <c r="F45" s="11" t="s">
        <v>135</v>
      </c>
      <c r="G45" s="11" t="str">
        <f>HLOOKUP(Language!$C$3,Language!$E$1:$Z492,42,FALSE)</f>
        <v>Without surge arrester</v>
      </c>
      <c r="H45" s="11">
        <v>0</v>
      </c>
      <c r="I45" s="11"/>
      <c r="J45" s="11" t="s">
        <v>135</v>
      </c>
      <c r="K45" s="11" t="str">
        <f>HLOOKUP(Language!$C$3,Language!$E$1:$Z492,42,FALSE)</f>
        <v>Without surge arrester</v>
      </c>
      <c r="L45" s="11">
        <v>0</v>
      </c>
      <c r="M45" s="11"/>
      <c r="N45" s="11" t="s">
        <v>135</v>
      </c>
      <c r="O45" s="11" t="str">
        <f>HLOOKUP(Language!$C$3,Language!$E$1:$Z492,42,FALSE)</f>
        <v>Without surge arrester</v>
      </c>
      <c r="P45" s="11">
        <v>0</v>
      </c>
      <c r="Q45" s="11"/>
      <c r="R45" s="11" t="s">
        <v>135</v>
      </c>
      <c r="S45" s="11" t="str">
        <f>HLOOKUP(Language!$C$3,Language!$E$1:$Z492,42,FALSE)</f>
        <v>Without surge arrester</v>
      </c>
      <c r="T45" s="11">
        <v>0</v>
      </c>
      <c r="U45" s="11"/>
      <c r="V45" s="11" t="s">
        <v>135</v>
      </c>
      <c r="W45" s="11" t="str">
        <f>HLOOKUP(Language!$C$3,Language!$E$1:$Z492,42,FALSE)</f>
        <v>Without surge arrester</v>
      </c>
      <c r="X45" s="11">
        <v>0</v>
      </c>
      <c r="Y45" s="11"/>
      <c r="Z45" s="11" t="s">
        <v>135</v>
      </c>
      <c r="AA45" s="11" t="str">
        <f>HLOOKUP(Language!$C$3,Language!$E$1:$Z492,42,FALSE)</f>
        <v>Without surge arrester</v>
      </c>
      <c r="AB45" s="11">
        <v>0</v>
      </c>
      <c r="AC45" s="11"/>
      <c r="AD45" s="11" t="s">
        <v>135</v>
      </c>
    </row>
    <row r="46" spans="1:30" x14ac:dyDescent="0.25">
      <c r="A46" s="12"/>
      <c r="B46" s="180"/>
      <c r="C46" s="12" t="str">
        <f>HLOOKUP(Language!$C$3,Language!$E$1:$Z492,43,FALSE)</f>
        <v>10 kA, 50 Ohms, BNC-type connector Surge Arrester for 0-2000 MHz</v>
      </c>
      <c r="D46" s="14">
        <v>1</v>
      </c>
      <c r="E46" s="14"/>
      <c r="F46" s="14" t="s">
        <v>135</v>
      </c>
      <c r="G46" s="12" t="str">
        <f>HLOOKUP(Language!$C$3,Language!$E$1:$Z492,43,FALSE)</f>
        <v>10 kA, 50 Ohms, BNC-type connector Surge Arrester for 0-2000 MHz</v>
      </c>
      <c r="H46" s="14">
        <v>1</v>
      </c>
      <c r="I46" s="14"/>
      <c r="J46" s="14" t="s">
        <v>135</v>
      </c>
      <c r="K46" s="12" t="str">
        <f>HLOOKUP(Language!$C$3,Language!$E$1:$Z492,43,FALSE)</f>
        <v>10 kA, 50 Ohms, BNC-type connector Surge Arrester for 0-2000 MHz</v>
      </c>
      <c r="L46" s="14">
        <v>1</v>
      </c>
      <c r="M46" s="14"/>
      <c r="N46" s="14" t="s">
        <v>135</v>
      </c>
      <c r="O46" s="12" t="str">
        <f>HLOOKUP(Language!$C$3,Language!$E$1:$Z492,43,FALSE)</f>
        <v>10 kA, 50 Ohms, BNC-type connector Surge Arrester for 0-2000 MHz</v>
      </c>
      <c r="P46" s="14">
        <v>1</v>
      </c>
      <c r="Q46" s="14"/>
      <c r="R46" s="14" t="s">
        <v>135</v>
      </c>
      <c r="S46" s="12" t="str">
        <f>HLOOKUP(Language!$C$3,Language!$E$1:$Z492,43,FALSE)</f>
        <v>10 kA, 50 Ohms, BNC-type connector Surge Arrester for 0-2000 MHz</v>
      </c>
      <c r="T46" s="14">
        <v>1</v>
      </c>
      <c r="U46" s="14"/>
      <c r="V46" s="14" t="s">
        <v>135</v>
      </c>
      <c r="W46" s="12" t="str">
        <f>HLOOKUP(Language!$C$3,Language!$E$1:$Z492,43,FALSE)</f>
        <v>10 kA, 50 Ohms, BNC-type connector Surge Arrester for 0-2000 MHz</v>
      </c>
      <c r="X46" s="14">
        <v>1</v>
      </c>
      <c r="Y46" s="14"/>
      <c r="Z46" s="14" t="s">
        <v>135</v>
      </c>
      <c r="AA46" s="12" t="str">
        <f>HLOOKUP(Language!$C$3,Language!$E$1:$Z492,43,FALSE)</f>
        <v>10 kA, 50 Ohms, BNC-type connector Surge Arrester for 0-2000 MHz</v>
      </c>
      <c r="AB46" s="14">
        <v>1</v>
      </c>
      <c r="AC46" s="14"/>
      <c r="AD46" s="14" t="s">
        <v>135</v>
      </c>
    </row>
    <row r="47" spans="1:30" x14ac:dyDescent="0.25">
      <c r="A47" s="17"/>
      <c r="B47" s="181"/>
      <c r="C47" s="17"/>
      <c r="D47" s="20"/>
      <c r="E47" s="20"/>
      <c r="F47" s="20"/>
      <c r="G47" s="17"/>
      <c r="H47" s="20"/>
      <c r="I47" s="20"/>
      <c r="J47" s="20"/>
      <c r="K47" s="17"/>
      <c r="L47" s="20"/>
      <c r="M47" s="20"/>
      <c r="N47" s="20"/>
      <c r="O47" s="17"/>
      <c r="P47" s="20"/>
      <c r="Q47" s="20"/>
      <c r="R47" s="20"/>
      <c r="S47" s="17"/>
      <c r="T47" s="20"/>
      <c r="U47" s="20"/>
      <c r="V47" s="20"/>
      <c r="W47" s="17"/>
      <c r="X47" s="20"/>
      <c r="Y47" s="20"/>
      <c r="Z47" s="20"/>
      <c r="AA47" s="17"/>
      <c r="AB47" s="20"/>
      <c r="AC47" s="20"/>
      <c r="AD47" s="20"/>
    </row>
  </sheetData>
  <phoneticPr fontId="19"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G80"/>
  <sheetViews>
    <sheetView topLeftCell="A50" zoomScaleNormal="100" workbookViewId="0">
      <selection activeCell="G80" sqref="G80"/>
    </sheetView>
  </sheetViews>
  <sheetFormatPr defaultRowHeight="14.5" x14ac:dyDescent="0.35"/>
  <cols>
    <col min="1" max="1" width="2.453125" style="106" customWidth="1"/>
    <col min="2" max="2" width="28.81640625" style="107" customWidth="1"/>
    <col min="3" max="3" width="3.1796875" style="108" customWidth="1"/>
    <col min="4" max="4" width="3.1796875" style="107" customWidth="1"/>
    <col min="5" max="6" width="72.7265625" style="109" customWidth="1"/>
    <col min="7" max="7" width="72.7265625" customWidth="1"/>
  </cols>
  <sheetData>
    <row r="1" spans="1:7" x14ac:dyDescent="0.35">
      <c r="B1" s="107" t="s">
        <v>32</v>
      </c>
      <c r="E1" s="119" t="s">
        <v>33</v>
      </c>
      <c r="F1" s="119" t="s">
        <v>34</v>
      </c>
      <c r="G1" s="119" t="s">
        <v>35</v>
      </c>
    </row>
    <row r="2" spans="1:7" x14ac:dyDescent="0.35">
      <c r="E2" s="119" t="s">
        <v>8</v>
      </c>
      <c r="F2" s="119" t="s">
        <v>36</v>
      </c>
      <c r="G2" s="119" t="s">
        <v>36</v>
      </c>
    </row>
    <row r="3" spans="1:7" x14ac:dyDescent="0.35">
      <c r="A3" s="110">
        <v>1</v>
      </c>
      <c r="B3" s="111" t="str">
        <f>VLOOKUP(A3,A4:C6,2,FALSE)</f>
        <v>English</v>
      </c>
      <c r="C3" s="112" t="str">
        <f>VLOOKUP(A3,A4:C6,3,FALSE)</f>
        <v>En</v>
      </c>
      <c r="D3" s="113"/>
      <c r="E3" s="119" t="s">
        <v>155</v>
      </c>
      <c r="F3" s="119" t="s">
        <v>155</v>
      </c>
      <c r="G3" s="119" t="s">
        <v>155</v>
      </c>
    </row>
    <row r="4" spans="1:7" x14ac:dyDescent="0.35">
      <c r="A4" s="114">
        <v>1</v>
      </c>
      <c r="B4" s="113" t="s">
        <v>37</v>
      </c>
      <c r="C4" s="115" t="s">
        <v>33</v>
      </c>
      <c r="D4" s="113"/>
      <c r="E4" s="119" t="s">
        <v>166</v>
      </c>
      <c r="F4" s="119" t="s">
        <v>166</v>
      </c>
      <c r="G4" s="119" t="s">
        <v>166</v>
      </c>
    </row>
    <row r="5" spans="1:7" x14ac:dyDescent="0.35">
      <c r="A5" s="114">
        <v>2</v>
      </c>
      <c r="B5" s="113" t="s">
        <v>38</v>
      </c>
      <c r="C5" s="115" t="s">
        <v>34</v>
      </c>
      <c r="D5" s="113"/>
      <c r="E5" s="119" t="s">
        <v>15</v>
      </c>
      <c r="F5" s="119" t="s">
        <v>60</v>
      </c>
      <c r="G5" s="119" t="s">
        <v>156</v>
      </c>
    </row>
    <row r="6" spans="1:7" x14ac:dyDescent="0.35">
      <c r="A6" s="116">
        <v>3</v>
      </c>
      <c r="B6" s="117" t="s">
        <v>39</v>
      </c>
      <c r="C6" s="118" t="s">
        <v>35</v>
      </c>
      <c r="E6" s="119" t="s">
        <v>97</v>
      </c>
      <c r="F6" s="119" t="s">
        <v>98</v>
      </c>
      <c r="G6" s="119" t="s">
        <v>98</v>
      </c>
    </row>
    <row r="7" spans="1:7" x14ac:dyDescent="0.35">
      <c r="D7" s="113"/>
      <c r="E7" s="119" t="s">
        <v>120</v>
      </c>
      <c r="F7" s="119" t="s">
        <v>121</v>
      </c>
      <c r="G7" s="119" t="s">
        <v>121</v>
      </c>
    </row>
    <row r="8" spans="1:7" x14ac:dyDescent="0.35">
      <c r="E8" s="119" t="s">
        <v>16</v>
      </c>
      <c r="F8" s="119" t="s">
        <v>61</v>
      </c>
      <c r="G8" s="119" t="s">
        <v>84</v>
      </c>
    </row>
    <row r="9" spans="1:7" x14ac:dyDescent="0.35">
      <c r="E9" s="119" t="s">
        <v>17</v>
      </c>
      <c r="F9" s="119" t="s">
        <v>62</v>
      </c>
      <c r="G9" s="119" t="s">
        <v>73</v>
      </c>
    </row>
    <row r="10" spans="1:7" x14ac:dyDescent="0.35">
      <c r="E10" s="109" t="s">
        <v>160</v>
      </c>
      <c r="F10" s="109" t="s">
        <v>161</v>
      </c>
      <c r="G10" s="109" t="s">
        <v>162</v>
      </c>
    </row>
    <row r="11" spans="1:7" x14ac:dyDescent="0.35">
      <c r="E11" s="119" t="s">
        <v>18</v>
      </c>
      <c r="F11" s="119" t="s">
        <v>63</v>
      </c>
      <c r="G11" s="119" t="s">
        <v>74</v>
      </c>
    </row>
    <row r="12" spans="1:7" x14ac:dyDescent="0.35">
      <c r="E12" s="119" t="s">
        <v>19</v>
      </c>
      <c r="F12" s="119" t="s">
        <v>64</v>
      </c>
      <c r="G12" s="119" t="s">
        <v>75</v>
      </c>
    </row>
    <row r="13" spans="1:7" x14ac:dyDescent="0.35">
      <c r="E13" s="119" t="s">
        <v>21</v>
      </c>
      <c r="F13" s="119" t="s">
        <v>65</v>
      </c>
      <c r="G13" s="119" t="s">
        <v>76</v>
      </c>
    </row>
    <row r="14" spans="1:7" x14ac:dyDescent="0.35">
      <c r="E14" s="109" t="s">
        <v>163</v>
      </c>
      <c r="F14" s="109" t="s">
        <v>164</v>
      </c>
      <c r="G14" s="109" t="s">
        <v>165</v>
      </c>
    </row>
    <row r="15" spans="1:7" x14ac:dyDescent="0.35">
      <c r="E15" s="119" t="s">
        <v>96</v>
      </c>
      <c r="F15" s="119" t="s">
        <v>95</v>
      </c>
      <c r="G15" s="119" t="s">
        <v>94</v>
      </c>
    </row>
    <row r="16" spans="1:7" x14ac:dyDescent="0.35">
      <c r="E16" s="119" t="s">
        <v>147</v>
      </c>
      <c r="F16" s="119" t="s">
        <v>146</v>
      </c>
      <c r="G16" s="119" t="s">
        <v>145</v>
      </c>
    </row>
    <row r="17" spans="5:7" x14ac:dyDescent="0.35">
      <c r="E17" s="119" t="s">
        <v>148</v>
      </c>
      <c r="F17" s="119" t="s">
        <v>148</v>
      </c>
      <c r="G17" s="119" t="s">
        <v>148</v>
      </c>
    </row>
    <row r="18" spans="5:7" x14ac:dyDescent="0.35">
      <c r="E18" s="119" t="s">
        <v>149</v>
      </c>
      <c r="F18" s="119" t="s">
        <v>150</v>
      </c>
      <c r="G18" s="119" t="s">
        <v>151</v>
      </c>
    </row>
    <row r="19" spans="5:7" x14ac:dyDescent="0.35">
      <c r="E19" s="119" t="s">
        <v>152</v>
      </c>
      <c r="F19" s="119" t="s">
        <v>153</v>
      </c>
      <c r="G19" s="119" t="s">
        <v>153</v>
      </c>
    </row>
    <row r="20" spans="5:7" x14ac:dyDescent="0.35">
      <c r="E20" s="119" t="s">
        <v>187</v>
      </c>
      <c r="F20" s="119" t="s">
        <v>187</v>
      </c>
      <c r="G20" s="119" t="s">
        <v>187</v>
      </c>
    </row>
    <row r="21" spans="5:7" x14ac:dyDescent="0.35">
      <c r="E21" s="119" t="s">
        <v>154</v>
      </c>
      <c r="F21" s="119" t="s">
        <v>154</v>
      </c>
      <c r="G21" s="119" t="s">
        <v>154</v>
      </c>
    </row>
    <row r="22" spans="5:7" x14ac:dyDescent="0.35">
      <c r="E22" s="119" t="s">
        <v>10</v>
      </c>
      <c r="F22" s="119" t="s">
        <v>40</v>
      </c>
      <c r="G22" s="119" t="s">
        <v>41</v>
      </c>
    </row>
    <row r="23" spans="5:7" x14ac:dyDescent="0.35">
      <c r="E23" s="119" t="s">
        <v>11</v>
      </c>
      <c r="F23" s="119" t="s">
        <v>11</v>
      </c>
      <c r="G23" s="119" t="s">
        <v>11</v>
      </c>
    </row>
    <row r="24" spans="5:7" x14ac:dyDescent="0.35">
      <c r="E24" s="119" t="s">
        <v>12</v>
      </c>
      <c r="F24" s="119" t="s">
        <v>42</v>
      </c>
      <c r="G24" s="119" t="s">
        <v>42</v>
      </c>
    </row>
    <row r="25" spans="5:7" x14ac:dyDescent="0.35">
      <c r="E25" s="119" t="s">
        <v>22</v>
      </c>
      <c r="F25" s="119" t="s">
        <v>43</v>
      </c>
      <c r="G25" s="119" t="s">
        <v>44</v>
      </c>
    </row>
    <row r="26" spans="5:7" x14ac:dyDescent="0.35">
      <c r="E26" s="119" t="s">
        <v>117</v>
      </c>
      <c r="F26" s="119" t="s">
        <v>118</v>
      </c>
      <c r="G26" s="119" t="s">
        <v>119</v>
      </c>
    </row>
    <row r="27" spans="5:7" x14ac:dyDescent="0.35">
      <c r="E27" s="119" t="s">
        <v>92</v>
      </c>
      <c r="F27" s="119" t="s">
        <v>143</v>
      </c>
      <c r="G27" s="119" t="s">
        <v>144</v>
      </c>
    </row>
    <row r="28" spans="5:7" x14ac:dyDescent="0.35">
      <c r="E28" s="109" t="s">
        <v>122</v>
      </c>
      <c r="F28" s="109" t="s">
        <v>123</v>
      </c>
      <c r="G28" s="119" t="s">
        <v>124</v>
      </c>
    </row>
    <row r="29" spans="5:7" x14ac:dyDescent="0.35">
      <c r="E29" s="119" t="s">
        <v>13</v>
      </c>
      <c r="F29" s="119" t="s">
        <v>66</v>
      </c>
      <c r="G29" s="119" t="s">
        <v>93</v>
      </c>
    </row>
    <row r="30" spans="5:7" x14ac:dyDescent="0.35">
      <c r="E30" s="119" t="s">
        <v>157</v>
      </c>
      <c r="F30" s="119" t="s">
        <v>158</v>
      </c>
      <c r="G30" s="119" t="s">
        <v>159</v>
      </c>
    </row>
    <row r="31" spans="5:7" x14ac:dyDescent="0.35">
      <c r="E31" s="119" t="s">
        <v>25</v>
      </c>
      <c r="F31" s="119" t="s">
        <v>67</v>
      </c>
      <c r="G31" s="119" t="s">
        <v>67</v>
      </c>
    </row>
    <row r="32" spans="5:7" x14ac:dyDescent="0.35">
      <c r="E32" s="119" t="s">
        <v>26</v>
      </c>
      <c r="F32" s="119" t="s">
        <v>77</v>
      </c>
      <c r="G32" s="119" t="s">
        <v>78</v>
      </c>
    </row>
    <row r="33" spans="5:7" x14ac:dyDescent="0.35">
      <c r="E33" s="119" t="s">
        <v>114</v>
      </c>
      <c r="F33" s="119" t="s">
        <v>115</v>
      </c>
      <c r="G33" s="119" t="s">
        <v>116</v>
      </c>
    </row>
    <row r="34" spans="5:7" x14ac:dyDescent="0.35">
      <c r="E34" s="119" t="s">
        <v>27</v>
      </c>
      <c r="F34" s="119" t="s">
        <v>68</v>
      </c>
      <c r="G34" s="119" t="s">
        <v>79</v>
      </c>
    </row>
    <row r="35" spans="5:7" x14ac:dyDescent="0.35">
      <c r="E35" s="119" t="s">
        <v>28</v>
      </c>
      <c r="F35" s="119" t="s">
        <v>69</v>
      </c>
      <c r="G35" s="119" t="s">
        <v>80</v>
      </c>
    </row>
    <row r="36" spans="5:7" x14ac:dyDescent="0.35">
      <c r="E36" s="119" t="s">
        <v>99</v>
      </c>
      <c r="F36" s="119" t="s">
        <v>100</v>
      </c>
      <c r="G36" s="119" t="s">
        <v>109</v>
      </c>
    </row>
    <row r="37" spans="5:7" x14ac:dyDescent="0.35">
      <c r="E37" s="119" t="s">
        <v>103</v>
      </c>
      <c r="F37" s="119" t="s">
        <v>101</v>
      </c>
      <c r="G37" s="119" t="s">
        <v>110</v>
      </c>
    </row>
    <row r="38" spans="5:7" x14ac:dyDescent="0.35">
      <c r="E38" s="119" t="s">
        <v>104</v>
      </c>
      <c r="F38" s="119" t="s">
        <v>102</v>
      </c>
      <c r="G38" s="119" t="s">
        <v>111</v>
      </c>
    </row>
    <row r="39" spans="5:7" x14ac:dyDescent="0.35">
      <c r="E39" s="119" t="s">
        <v>105</v>
      </c>
      <c r="F39" s="119" t="s">
        <v>107</v>
      </c>
      <c r="G39" s="119" t="s">
        <v>112</v>
      </c>
    </row>
    <row r="40" spans="5:7" x14ac:dyDescent="0.35">
      <c r="E40" s="119" t="s">
        <v>106</v>
      </c>
      <c r="F40" s="119" t="s">
        <v>108</v>
      </c>
      <c r="G40" s="119" t="s">
        <v>113</v>
      </c>
    </row>
    <row r="41" spans="5:7" x14ac:dyDescent="0.35">
      <c r="E41" s="119" t="s">
        <v>29</v>
      </c>
      <c r="F41" s="119" t="s">
        <v>70</v>
      </c>
      <c r="G41" s="119" t="s">
        <v>81</v>
      </c>
    </row>
    <row r="42" spans="5:7" x14ac:dyDescent="0.35">
      <c r="E42" s="119" t="s">
        <v>30</v>
      </c>
      <c r="F42" s="119" t="s">
        <v>71</v>
      </c>
      <c r="G42" s="119" t="s">
        <v>82</v>
      </c>
    </row>
    <row r="43" spans="5:7" x14ac:dyDescent="0.35">
      <c r="E43" s="119" t="s">
        <v>31</v>
      </c>
      <c r="F43" s="119" t="s">
        <v>72</v>
      </c>
      <c r="G43" s="119" t="s">
        <v>83</v>
      </c>
    </row>
    <row r="44" spans="5:7" x14ac:dyDescent="0.35">
      <c r="E44" s="109" t="s">
        <v>140</v>
      </c>
      <c r="F44" s="109" t="s">
        <v>141</v>
      </c>
      <c r="G44" s="109" t="s">
        <v>142</v>
      </c>
    </row>
    <row r="45" spans="5:7" x14ac:dyDescent="0.35">
      <c r="E45" s="119" t="s">
        <v>85</v>
      </c>
      <c r="F45" s="119" t="s">
        <v>86</v>
      </c>
      <c r="G45" s="119" t="s">
        <v>87</v>
      </c>
    </row>
    <row r="46" spans="5:7" x14ac:dyDescent="0.35">
      <c r="E46" s="133" t="s">
        <v>45</v>
      </c>
      <c r="F46" s="133" t="s">
        <v>46</v>
      </c>
      <c r="G46" s="133" t="s">
        <v>47</v>
      </c>
    </row>
    <row r="47" spans="5:7" x14ac:dyDescent="0.35">
      <c r="E47" s="133" t="s">
        <v>48</v>
      </c>
      <c r="F47" s="133" t="s">
        <v>49</v>
      </c>
      <c r="G47" s="133" t="s">
        <v>50</v>
      </c>
    </row>
    <row r="48" spans="5:7" ht="23" x14ac:dyDescent="0.35">
      <c r="E48" s="133" t="s">
        <v>3</v>
      </c>
      <c r="F48" s="133" t="s">
        <v>91</v>
      </c>
      <c r="G48" s="133" t="s">
        <v>51</v>
      </c>
    </row>
    <row r="49" spans="5:7" ht="23" x14ac:dyDescent="0.35">
      <c r="E49" s="133" t="s">
        <v>4</v>
      </c>
      <c r="F49" s="133" t="s">
        <v>52</v>
      </c>
      <c r="G49" s="133" t="s">
        <v>53</v>
      </c>
    </row>
    <row r="50" spans="5:7" ht="34.5" x14ac:dyDescent="0.35">
      <c r="E50" s="133" t="s">
        <v>5</v>
      </c>
      <c r="F50" s="133" t="s">
        <v>54</v>
      </c>
      <c r="G50" s="133" t="s">
        <v>55</v>
      </c>
    </row>
    <row r="51" spans="5:7" x14ac:dyDescent="0.35">
      <c r="E51" s="133" t="s">
        <v>88</v>
      </c>
      <c r="F51" s="133" t="s">
        <v>89</v>
      </c>
      <c r="G51" s="133" t="s">
        <v>56</v>
      </c>
    </row>
    <row r="52" spans="5:7" x14ac:dyDescent="0.35">
      <c r="E52" s="133" t="s">
        <v>6</v>
      </c>
      <c r="F52" s="133" t="s">
        <v>57</v>
      </c>
      <c r="G52" s="133" t="s">
        <v>57</v>
      </c>
    </row>
    <row r="53" spans="5:7" x14ac:dyDescent="0.35">
      <c r="E53" s="133" t="s">
        <v>23</v>
      </c>
      <c r="F53" s="133" t="s">
        <v>58</v>
      </c>
      <c r="G53" s="133" t="s">
        <v>59</v>
      </c>
    </row>
    <row r="54" spans="5:7" x14ac:dyDescent="0.35">
      <c r="E54" s="133" t="s">
        <v>24</v>
      </c>
      <c r="F54" s="133" t="s">
        <v>90</v>
      </c>
      <c r="G54" s="133" t="s">
        <v>90</v>
      </c>
    </row>
    <row r="55" spans="5:7" x14ac:dyDescent="0.35">
      <c r="E55" s="119" t="s">
        <v>167</v>
      </c>
      <c r="F55" s="119" t="s">
        <v>168</v>
      </c>
      <c r="G55" s="133" t="s">
        <v>169</v>
      </c>
    </row>
    <row r="56" spans="5:7" ht="23" x14ac:dyDescent="0.35">
      <c r="E56" s="119" t="s">
        <v>170</v>
      </c>
      <c r="F56" s="119" t="s">
        <v>171</v>
      </c>
      <c r="G56" s="133" t="s">
        <v>172</v>
      </c>
    </row>
    <row r="57" spans="5:7" x14ac:dyDescent="0.35">
      <c r="E57" s="119" t="s">
        <v>173</v>
      </c>
      <c r="F57" s="119" t="s">
        <v>174</v>
      </c>
      <c r="G57" s="133" t="s">
        <v>175</v>
      </c>
    </row>
    <row r="58" spans="5:7" x14ac:dyDescent="0.35">
      <c r="E58" s="109" t="s">
        <v>176</v>
      </c>
      <c r="F58" s="109" t="s">
        <v>177</v>
      </c>
      <c r="G58" s="119" t="s">
        <v>178</v>
      </c>
    </row>
    <row r="59" spans="5:7" x14ac:dyDescent="0.35">
      <c r="E59" s="109" t="s">
        <v>181</v>
      </c>
      <c r="F59" s="109" t="s">
        <v>182</v>
      </c>
      <c r="G59" s="109" t="s">
        <v>182</v>
      </c>
    </row>
    <row r="60" spans="5:7" x14ac:dyDescent="0.35">
      <c r="E60" s="109" t="s">
        <v>183</v>
      </c>
      <c r="F60" s="109" t="s">
        <v>184</v>
      </c>
      <c r="G60" s="109" t="s">
        <v>185</v>
      </c>
    </row>
    <row r="61" spans="5:7" x14ac:dyDescent="0.35">
      <c r="E61" s="119" t="s">
        <v>188</v>
      </c>
      <c r="F61" s="119" t="s">
        <v>189</v>
      </c>
      <c r="G61" s="119" t="s">
        <v>190</v>
      </c>
    </row>
    <row r="62" spans="5:7" x14ac:dyDescent="0.35">
      <c r="E62" s="119" t="s">
        <v>191</v>
      </c>
      <c r="F62" s="119" t="s">
        <v>192</v>
      </c>
      <c r="G62" s="119" t="s">
        <v>193</v>
      </c>
    </row>
    <row r="63" spans="5:7" x14ac:dyDescent="0.35">
      <c r="E63" s="119" t="s">
        <v>194</v>
      </c>
      <c r="F63" s="119" t="s">
        <v>195</v>
      </c>
      <c r="G63" s="119" t="s">
        <v>196</v>
      </c>
    </row>
    <row r="64" spans="5:7" x14ac:dyDescent="0.35">
      <c r="E64" s="119" t="s">
        <v>197</v>
      </c>
      <c r="F64" s="119" t="s">
        <v>198</v>
      </c>
      <c r="G64" s="119" t="s">
        <v>199</v>
      </c>
    </row>
    <row r="65" spans="5:7" x14ac:dyDescent="0.35">
      <c r="E65" s="119" t="s">
        <v>200</v>
      </c>
      <c r="F65" s="119" t="s">
        <v>201</v>
      </c>
      <c r="G65" s="119" t="s">
        <v>202</v>
      </c>
    </row>
    <row r="66" spans="5:7" x14ac:dyDescent="0.35">
      <c r="E66" s="109" t="s">
        <v>203</v>
      </c>
      <c r="F66" s="109" t="s">
        <v>204</v>
      </c>
      <c r="G66" s="109" t="s">
        <v>205</v>
      </c>
    </row>
    <row r="67" spans="5:7" x14ac:dyDescent="0.35">
      <c r="E67" s="109" t="s">
        <v>208</v>
      </c>
      <c r="F67" s="109" t="s">
        <v>209</v>
      </c>
      <c r="G67" s="119" t="s">
        <v>210</v>
      </c>
    </row>
    <row r="68" spans="5:7" x14ac:dyDescent="0.35">
      <c r="E68" s="109" t="s">
        <v>221</v>
      </c>
      <c r="F68" s="109" t="s">
        <v>223</v>
      </c>
      <c r="G68" s="119" t="s">
        <v>227</v>
      </c>
    </row>
    <row r="69" spans="5:7" x14ac:dyDescent="0.35">
      <c r="E69" s="119" t="s">
        <v>219</v>
      </c>
      <c r="F69" s="119" t="s">
        <v>224</v>
      </c>
      <c r="G69" s="119" t="s">
        <v>228</v>
      </c>
    </row>
    <row r="70" spans="5:7" x14ac:dyDescent="0.35">
      <c r="E70" s="119" t="s">
        <v>220</v>
      </c>
      <c r="F70" s="119" t="s">
        <v>225</v>
      </c>
      <c r="G70" s="119" t="s">
        <v>229</v>
      </c>
    </row>
    <row r="71" spans="5:7" x14ac:dyDescent="0.35">
      <c r="E71" s="119" t="s">
        <v>215</v>
      </c>
      <c r="F71" s="119" t="s">
        <v>216</v>
      </c>
      <c r="G71" s="119" t="s">
        <v>217</v>
      </c>
    </row>
    <row r="72" spans="5:7" x14ac:dyDescent="0.35">
      <c r="E72" s="109" t="s">
        <v>218</v>
      </c>
      <c r="F72" s="109" t="s">
        <v>218</v>
      </c>
      <c r="G72" s="109" t="s">
        <v>218</v>
      </c>
    </row>
    <row r="73" spans="5:7" ht="35.5" x14ac:dyDescent="0.35">
      <c r="E73" s="109" t="s">
        <v>222</v>
      </c>
      <c r="F73" s="109" t="s">
        <v>226</v>
      </c>
      <c r="G73" s="109" t="s">
        <v>230</v>
      </c>
    </row>
    <row r="74" spans="5:7" x14ac:dyDescent="0.35">
      <c r="E74" s="109" t="s">
        <v>242</v>
      </c>
      <c r="F74" s="109" t="s">
        <v>243</v>
      </c>
      <c r="G74" s="119" t="s">
        <v>244</v>
      </c>
    </row>
    <row r="75" spans="5:7" x14ac:dyDescent="0.35">
      <c r="E75" s="109" t="s">
        <v>233</v>
      </c>
      <c r="F75" s="109" t="s">
        <v>234</v>
      </c>
      <c r="G75" s="119" t="s">
        <v>234</v>
      </c>
    </row>
    <row r="76" spans="5:7" x14ac:dyDescent="0.35">
      <c r="E76" s="109" t="s">
        <v>245</v>
      </c>
      <c r="F76" s="109" t="s">
        <v>246</v>
      </c>
      <c r="G76" s="119" t="s">
        <v>247</v>
      </c>
    </row>
    <row r="77" spans="5:7" x14ac:dyDescent="0.35">
      <c r="E77" s="109" t="s">
        <v>131</v>
      </c>
      <c r="F77" s="109" t="s">
        <v>248</v>
      </c>
      <c r="G77" s="119" t="s">
        <v>248</v>
      </c>
    </row>
    <row r="78" spans="5:7" x14ac:dyDescent="0.35">
      <c r="E78" s="109" t="s">
        <v>129</v>
      </c>
      <c r="F78" s="109" t="s">
        <v>249</v>
      </c>
      <c r="G78" s="109" t="s">
        <v>250</v>
      </c>
    </row>
    <row r="79" spans="5:7" x14ac:dyDescent="0.35">
      <c r="E79" s="109" t="s">
        <v>251</v>
      </c>
      <c r="F79" s="109" t="s">
        <v>252</v>
      </c>
      <c r="G79" s="119" t="s">
        <v>253</v>
      </c>
    </row>
    <row r="80" spans="5:7" ht="24" x14ac:dyDescent="0.35">
      <c r="E80" s="109" t="s">
        <v>254</v>
      </c>
      <c r="F80" s="109" t="s">
        <v>255</v>
      </c>
      <c r="G80" s="243" t="s">
        <v>256</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Cortec</vt:lpstr>
      <vt:lpstr>Configurator</vt:lpstr>
      <vt:lpstr>Master Text</vt:lpstr>
      <vt:lpstr>Accessories</vt:lpstr>
      <vt:lpstr>Database</vt:lpstr>
      <vt:lpstr>Date Drivers</vt:lpstr>
      <vt:lpstr>Language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Stegmann Pineda</dc:creator>
  <cp:lastModifiedBy>Zapella, Marcelo (GE Vernova)</cp:lastModifiedBy>
  <cp:lastPrinted>2014-03-11T11:39:11Z</cp:lastPrinted>
  <dcterms:created xsi:type="dcterms:W3CDTF">2012-11-20T14:50:48Z</dcterms:created>
  <dcterms:modified xsi:type="dcterms:W3CDTF">2023-12-08T13:50:12Z</dcterms:modified>
</cp:coreProperties>
</file>